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44130de0bbc207a/Desktop/"/>
    </mc:Choice>
  </mc:AlternateContent>
  <xr:revisionPtr revIDLastSave="223" documentId="8_{44AC2C3F-4355-4DA5-816E-098847F6F15E}" xr6:coauthVersionLast="46" xr6:coauthVersionMax="46" xr10:uidLastSave="{D6CD66CD-C635-4E98-A682-2E5B42C39EB0}"/>
  <bookViews>
    <workbookView xWindow="-98" yWindow="-98" windowWidth="22695" windowHeight="14595" xr2:uid="{00000000-000D-0000-FFFF-FFFF00000000}"/>
  </bookViews>
  <sheets>
    <sheet name="General Calculations" sheetId="1" r:id="rId1"/>
    <sheet name="Grundfos Pumps" sheetId="2" r:id="rId2"/>
    <sheet name="Peristaltic" sheetId="3" r:id="rId3"/>
  </sheets>
  <definedNames>
    <definedName name="_xlnm.Print_Area" localSheetId="0">'General Calculations'!$A$1:$E$215</definedName>
    <definedName name="_xlnm.Print_Area" localSheetId="1">'Grundfos Pumps'!$A$1:$G$63</definedName>
    <definedName name="_xlnm.Print_Area" localSheetId="2">Peristaltic!$A$1:$H$27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F63" i="2" l="1"/>
  <c r="D63" i="2"/>
  <c r="F62" i="2"/>
  <c r="D62" i="2"/>
  <c r="F61" i="2"/>
  <c r="D61" i="2"/>
  <c r="F60" i="2"/>
  <c r="D60" i="2"/>
  <c r="F59" i="2"/>
  <c r="D59" i="2"/>
  <c r="F58" i="2"/>
  <c r="D58" i="2"/>
  <c r="F57" i="2"/>
  <c r="D57" i="2"/>
  <c r="F56" i="2"/>
  <c r="D56" i="2"/>
  <c r="F55" i="2"/>
  <c r="D55" i="2"/>
  <c r="F54" i="2"/>
  <c r="D54" i="2"/>
  <c r="F53" i="2"/>
  <c r="D53" i="2"/>
  <c r="F52" i="2"/>
  <c r="D52" i="2"/>
  <c r="F51" i="2"/>
  <c r="D51" i="2"/>
  <c r="F50" i="2"/>
  <c r="D50" i="2"/>
  <c r="F49" i="2"/>
  <c r="D49" i="2"/>
  <c r="F48" i="2"/>
  <c r="D48" i="2"/>
  <c r="F47" i="2"/>
  <c r="D47" i="2"/>
  <c r="F46" i="2"/>
  <c r="D46" i="2"/>
  <c r="F45" i="2"/>
  <c r="D45" i="2"/>
  <c r="F44" i="2"/>
  <c r="D44" i="2"/>
  <c r="F43" i="2"/>
  <c r="D43" i="2"/>
  <c r="F42" i="2"/>
  <c r="D42" i="2"/>
  <c r="F41" i="2"/>
  <c r="D41" i="2"/>
  <c r="F40" i="2"/>
  <c r="D40" i="2"/>
  <c r="F39" i="2"/>
  <c r="D39" i="2"/>
  <c r="F38" i="2"/>
  <c r="D38" i="2"/>
  <c r="F37" i="2"/>
  <c r="D37" i="2"/>
  <c r="F36" i="2"/>
  <c r="D36" i="2"/>
  <c r="F35" i="2"/>
  <c r="D35" i="2"/>
  <c r="F34" i="2"/>
  <c r="D34" i="2"/>
  <c r="F33" i="2"/>
  <c r="D33" i="2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  <c r="D204" i="1"/>
  <c r="D205" i="1" s="1"/>
  <c r="D206" i="1" s="1"/>
  <c r="D202" i="1"/>
  <c r="D198" i="1"/>
  <c r="D207" i="1" s="1"/>
  <c r="D208" i="1" s="1"/>
  <c r="D209" i="1" s="1"/>
  <c r="D197" i="1"/>
  <c r="D195" i="1"/>
  <c r="D193" i="1"/>
  <c r="D191" i="1"/>
  <c r="D188" i="1"/>
  <c r="D189" i="1" s="1"/>
  <c r="D185" i="1"/>
  <c r="D186" i="1" s="1"/>
  <c r="D172" i="1"/>
  <c r="D168" i="1"/>
  <c r="D173" i="1" s="1"/>
  <c r="D167" i="1"/>
  <c r="D171" i="1" s="1"/>
  <c r="D165" i="1"/>
  <c r="D163" i="1"/>
  <c r="D161" i="1"/>
  <c r="D159" i="1"/>
  <c r="D144" i="1"/>
  <c r="D147" i="1" s="1"/>
  <c r="D142" i="1"/>
  <c r="D143" i="1" s="1"/>
  <c r="D138" i="1"/>
  <c r="D140" i="1" s="1"/>
  <c r="D141" i="1" s="1"/>
  <c r="D135" i="1"/>
  <c r="D133" i="1"/>
  <c r="D131" i="1"/>
  <c r="D128" i="1"/>
  <c r="D136" i="1" s="1"/>
  <c r="D137" i="1" s="1"/>
  <c r="D100" i="1"/>
  <c r="D101" i="1" s="1"/>
  <c r="D102" i="1" s="1"/>
  <c r="D96" i="1"/>
  <c r="D95" i="1"/>
  <c r="D87" i="1"/>
  <c r="B87" i="1"/>
  <c r="C86" i="1"/>
  <c r="D85" i="1"/>
  <c r="D86" i="1" s="1"/>
  <c r="E86" i="1" s="1"/>
  <c r="C85" i="1"/>
  <c r="E84" i="1"/>
  <c r="C84" i="1"/>
  <c r="E83" i="1"/>
  <c r="C83" i="1"/>
  <c r="E82" i="1"/>
  <c r="C82" i="1"/>
  <c r="E81" i="1"/>
  <c r="C81" i="1"/>
  <c r="E80" i="1"/>
  <c r="C80" i="1"/>
  <c r="E79" i="1"/>
  <c r="C79" i="1"/>
  <c r="E78" i="1"/>
  <c r="E87" i="1" s="1"/>
  <c r="E88" i="1" s="1"/>
  <c r="C78" i="1"/>
  <c r="C87" i="1" s="1"/>
  <c r="E77" i="1"/>
  <c r="C77" i="1"/>
  <c r="E76" i="1"/>
  <c r="C76" i="1"/>
  <c r="E75" i="1"/>
  <c r="C75" i="1"/>
  <c r="E74" i="1"/>
  <c r="C74" i="1"/>
  <c r="B64" i="1"/>
  <c r="C63" i="1"/>
  <c r="C62" i="1"/>
  <c r="C61" i="1"/>
  <c r="C60" i="1"/>
  <c r="C64" i="1" s="1"/>
  <c r="C65" i="1" s="1"/>
  <c r="C59" i="1"/>
  <c r="C58" i="1"/>
  <c r="C57" i="1"/>
  <c r="C56" i="1"/>
  <c r="C55" i="1"/>
  <c r="C54" i="1"/>
  <c r="D41" i="1"/>
  <c r="D42" i="1" s="1"/>
  <c r="D39" i="1"/>
  <c r="D40" i="1" s="1"/>
  <c r="D37" i="1"/>
  <c r="D38" i="1" s="1"/>
  <c r="D33" i="1"/>
  <c r="D34" i="1" s="1"/>
  <c r="D11" i="1"/>
  <c r="D174" i="1" l="1"/>
  <c r="D148" i="1"/>
  <c r="D149" i="1" s="1"/>
  <c r="D150" i="1" s="1"/>
  <c r="D116" i="1"/>
  <c r="D117" i="1" s="1"/>
  <c r="D118" i="1" s="1"/>
  <c r="D36" i="1"/>
  <c r="D43" i="1" s="1"/>
  <c r="D44" i="1" s="1"/>
  <c r="D45" i="1" s="1"/>
  <c r="D35" i="1"/>
  <c r="D175" i="1"/>
  <c r="D177" i="1" s="1"/>
  <c r="D178" i="1" s="1"/>
  <c r="D179" i="1" s="1"/>
  <c r="E85" i="1"/>
  <c r="D1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Young</author>
  </authors>
  <commentList>
    <comment ref="D7" authorId="0" shapeId="0" xr:uid="{E7343D5A-1C17-49AB-9AF5-9AE0C28A9A09}">
      <text>
        <r>
          <rPr>
            <b/>
            <sz val="9"/>
            <color indexed="81"/>
            <rFont val="Tahoma"/>
            <family val="2"/>
          </rPr>
          <t>Scott Young:</t>
        </r>
        <r>
          <rPr>
            <sz val="9"/>
            <color indexed="81"/>
            <rFont val="Tahoma"/>
            <family val="2"/>
          </rPr>
          <t xml:space="preserve">
If unknown, use 100</t>
        </r>
      </text>
    </comment>
    <comment ref="D9" authorId="0" shapeId="0" xr:uid="{F2900B8C-0AC8-40DA-A326-8F861432DECC}">
      <text>
        <r>
          <rPr>
            <b/>
            <sz val="9"/>
            <color indexed="81"/>
            <rFont val="Tahoma"/>
            <family val="2"/>
          </rPr>
          <t>Scott Young:</t>
        </r>
        <r>
          <rPr>
            <sz val="9"/>
            <color indexed="81"/>
            <rFont val="Tahoma"/>
            <family val="2"/>
          </rPr>
          <t xml:space="preserve">
2.5% is a good guide</t>
        </r>
      </text>
    </comment>
    <comment ref="C10" authorId="0" shapeId="0" xr:uid="{88BEFC29-C4AE-4011-9EF7-70D7603CCECC}">
      <text>
        <r>
          <rPr>
            <b/>
            <sz val="9"/>
            <color indexed="81"/>
            <rFont val="Tahoma"/>
            <family val="2"/>
          </rPr>
          <t>Scott Young:</t>
        </r>
        <r>
          <rPr>
            <sz val="9"/>
            <color indexed="81"/>
            <rFont val="Tahoma"/>
            <family val="2"/>
          </rPr>
          <t xml:space="preserve">
Use air to 1000 kPa
Nitrogen above 1000 kPa</t>
        </r>
      </text>
    </comment>
    <comment ref="D166" authorId="0" shapeId="0" xr:uid="{AD6BA79D-00F1-49D1-8CAB-CBB1A3A057A6}">
      <text>
        <r>
          <rPr>
            <b/>
            <sz val="9"/>
            <color indexed="81"/>
            <rFont val="Tahoma"/>
            <family val="2"/>
          </rPr>
          <t>Scott Young:</t>
        </r>
        <r>
          <rPr>
            <sz val="9"/>
            <color indexed="81"/>
            <rFont val="Tahoma"/>
            <family val="2"/>
          </rPr>
          <t xml:space="preserve">
Water at 20 Deg C is 1481 m/s</t>
        </r>
      </text>
    </comment>
  </commentList>
</comments>
</file>

<file path=xl/sharedStrings.xml><?xml version="1.0" encoding="utf-8"?>
<sst xmlns="http://schemas.openxmlformats.org/spreadsheetml/2006/main" count="433" uniqueCount="268">
  <si>
    <t>Pulsation Dampener</t>
  </si>
  <si>
    <t>Reciprocating Pump Sizing</t>
  </si>
  <si>
    <t>Inputs</t>
  </si>
  <si>
    <t>Is it a Grundfos Pump?</t>
  </si>
  <si>
    <t>Yes?  Click Here.</t>
  </si>
  <si>
    <t>No?  Use the below</t>
  </si>
  <si>
    <t>Flow Rate</t>
  </si>
  <si>
    <t>L/H</t>
  </si>
  <si>
    <t>Stroke Rate</t>
  </si>
  <si>
    <t>SPM</t>
  </si>
  <si>
    <t>Operating Pressure</t>
  </si>
  <si>
    <t>kPa</t>
  </si>
  <si>
    <t>Fluctuation +/-</t>
  </si>
  <si>
    <t>%</t>
  </si>
  <si>
    <t>Gas Charge</t>
  </si>
  <si>
    <t>Air / Nitrogen</t>
  </si>
  <si>
    <t>Nitrogen</t>
  </si>
  <si>
    <t>Pump Type</t>
  </si>
  <si>
    <t>K</t>
  </si>
  <si>
    <t>Simplex; Single Acting</t>
  </si>
  <si>
    <t>Look up</t>
  </si>
  <si>
    <t>Polytropic Coefficient of Gas Expansion</t>
  </si>
  <si>
    <t>Air</t>
  </si>
  <si>
    <t>Constant</t>
  </si>
  <si>
    <t>Simplex; Double Acting</t>
  </si>
  <si>
    <t>Duplex; Single Acting</t>
  </si>
  <si>
    <t>Duplex; Double Acting</t>
  </si>
  <si>
    <t>Triplex; Single Acting</t>
  </si>
  <si>
    <t>Triplex; Double Acting</t>
  </si>
  <si>
    <t>Quadruplex; Single Acting</t>
  </si>
  <si>
    <t>Quadruplex; Double Acting</t>
  </si>
  <si>
    <t>Quintuplex; Single Acting</t>
  </si>
  <si>
    <t>Quintuplex; Double Acting</t>
  </si>
  <si>
    <t>Calculations</t>
  </si>
  <si>
    <t>L/min</t>
  </si>
  <si>
    <t>Volume / Stroke</t>
  </si>
  <si>
    <t>L/stroke</t>
  </si>
  <si>
    <t>USG / Stroke</t>
  </si>
  <si>
    <t>Cuinch/Stroke</t>
  </si>
  <si>
    <t>Pmin</t>
  </si>
  <si>
    <t>PSI</t>
  </si>
  <si>
    <t>Pmax</t>
  </si>
  <si>
    <t>P</t>
  </si>
  <si>
    <t>Bar</t>
  </si>
  <si>
    <t>Volume Required</t>
  </si>
  <si>
    <t>Cubic Inches</t>
  </si>
  <si>
    <t>L</t>
  </si>
  <si>
    <t>Model</t>
  </si>
  <si>
    <t>AODD Sizing</t>
  </si>
  <si>
    <t>Pump</t>
  </si>
  <si>
    <t>Dampener Size Required</t>
  </si>
  <si>
    <t>Port Size</t>
  </si>
  <si>
    <t>Cubic Inch</t>
  </si>
  <si>
    <t>1/4"</t>
  </si>
  <si>
    <t>3/8"</t>
  </si>
  <si>
    <t>DN15</t>
  </si>
  <si>
    <t>DN20</t>
  </si>
  <si>
    <t>DN25</t>
  </si>
  <si>
    <t>DN32</t>
  </si>
  <si>
    <t>DN40</t>
  </si>
  <si>
    <t>DN50</t>
  </si>
  <si>
    <t>DN80</t>
  </si>
  <si>
    <t>DN100</t>
  </si>
  <si>
    <t>Peristaltic Pump Sizing</t>
  </si>
  <si>
    <t>Gal(US) / Rev</t>
  </si>
  <si>
    <t>L / Rev</t>
  </si>
  <si>
    <t>DN65</t>
  </si>
  <si>
    <t>DN125</t>
  </si>
  <si>
    <t>DN150</t>
  </si>
  <si>
    <t>Inlet Stabilisation</t>
  </si>
  <si>
    <t>Number of Pistons</t>
  </si>
  <si>
    <t>One</t>
  </si>
  <si>
    <t>Acting</t>
  </si>
  <si>
    <t>Single</t>
  </si>
  <si>
    <t>Calculation</t>
  </si>
  <si>
    <t>L/Stroke</t>
  </si>
  <si>
    <t>Cubic Inch / Stroke</t>
  </si>
  <si>
    <t>Lookup</t>
  </si>
  <si>
    <t>Pistons</t>
  </si>
  <si>
    <t>Two</t>
  </si>
  <si>
    <t>Three</t>
  </si>
  <si>
    <t>Four</t>
  </si>
  <si>
    <t>Five</t>
  </si>
  <si>
    <t>Double</t>
  </si>
  <si>
    <t>Surge Suppression</t>
  </si>
  <si>
    <t>Pipe</t>
  </si>
  <si>
    <t>DN (mm)</t>
  </si>
  <si>
    <t>L/s</t>
  </si>
  <si>
    <t>m^3/s</t>
  </si>
  <si>
    <t>Length of Pipe</t>
  </si>
  <si>
    <t>m</t>
  </si>
  <si>
    <t>Design Pressure</t>
  </si>
  <si>
    <t>kPa(g)</t>
  </si>
  <si>
    <t>psig</t>
  </si>
  <si>
    <t>Maximum Pressure</t>
  </si>
  <si>
    <t>Specific Gravity</t>
  </si>
  <si>
    <t>#</t>
  </si>
  <si>
    <t>Pipe Cross Sectional Area</t>
  </si>
  <si>
    <t>m^2</t>
  </si>
  <si>
    <t>Fluid Velocity</t>
  </si>
  <si>
    <t>m/s</t>
  </si>
  <si>
    <t>f/s</t>
  </si>
  <si>
    <t>Density</t>
  </si>
  <si>
    <t>kg/m^3</t>
  </si>
  <si>
    <t>lbs/ft^3</t>
  </si>
  <si>
    <t>Fluid Mass</t>
  </si>
  <si>
    <t>kg</t>
  </si>
  <si>
    <t>lbs</t>
  </si>
  <si>
    <t>Fluid Volume</t>
  </si>
  <si>
    <t>m^3</t>
  </si>
  <si>
    <t>ft^3</t>
  </si>
  <si>
    <t>(n-1)/n</t>
  </si>
  <si>
    <t>Pump Start Up and Shut Down</t>
  </si>
  <si>
    <t>GPM</t>
  </si>
  <si>
    <t>Ft</t>
  </si>
  <si>
    <t>Speed of Sound in Fluid</t>
  </si>
  <si>
    <t>Air/Nitrogen</t>
  </si>
  <si>
    <t>Part 1</t>
  </si>
  <si>
    <t>Part 2</t>
  </si>
  <si>
    <t>1/Gas</t>
  </si>
  <si>
    <t>Top Line</t>
  </si>
  <si>
    <t>Bottom Line</t>
  </si>
  <si>
    <t>Thermal Expansion</t>
  </si>
  <si>
    <t>Initial System Pressure</t>
  </si>
  <si>
    <t>psi(g)</t>
  </si>
  <si>
    <t>psi(a)</t>
  </si>
  <si>
    <t>Initial System Temperature</t>
  </si>
  <si>
    <t>Deg C</t>
  </si>
  <si>
    <t>Deg F</t>
  </si>
  <si>
    <t>Maximum Temperature</t>
  </si>
  <si>
    <t>Cubic Expansion of Liquid / C</t>
  </si>
  <si>
    <t>/C</t>
  </si>
  <si>
    <t>/F</t>
  </si>
  <si>
    <t>Linear Expansion of Pipe / C</t>
  </si>
  <si>
    <t>Pipe Length</t>
  </si>
  <si>
    <t>Pipe DN</t>
  </si>
  <si>
    <t>mm</t>
  </si>
  <si>
    <t>Inches</t>
  </si>
  <si>
    <t>Feet</t>
  </si>
  <si>
    <t>Excess Volume due to Expansion</t>
  </si>
  <si>
    <t>If you are unsure of this calculation, or require pricing, please contact H2O Rx</t>
  </si>
  <si>
    <t>Phone:</t>
  </si>
  <si>
    <t>0409 784 236</t>
  </si>
  <si>
    <t>Email:</t>
  </si>
  <si>
    <t>info@h2orx.com.au</t>
  </si>
  <si>
    <t>Web:</t>
  </si>
  <si>
    <t>www.h2orx.com.au</t>
  </si>
  <si>
    <t>Code</t>
  </si>
  <si>
    <t>Prefix</t>
  </si>
  <si>
    <t>Suffix</t>
  </si>
  <si>
    <t>Dampener Size (L)</t>
  </si>
  <si>
    <t>Dampener Model</t>
  </si>
  <si>
    <t>Notes</t>
  </si>
  <si>
    <t>DDE</t>
  </si>
  <si>
    <t>DDA</t>
  </si>
  <si>
    <t>These are digital pumps and have very little pulsation</t>
  </si>
  <si>
    <t>6&gt;&lt;30</t>
  </si>
  <si>
    <t>DMX</t>
  </si>
  <si>
    <t>DMH</t>
  </si>
  <si>
    <t>DDI</t>
  </si>
  <si>
    <t>60/150D</t>
  </si>
  <si>
    <t>DME</t>
  </si>
  <si>
    <t>60/150</t>
  </si>
  <si>
    <t>42M</t>
  </si>
  <si>
    <t>100M</t>
  </si>
  <si>
    <t>142M</t>
  </si>
  <si>
    <t>67L</t>
  </si>
  <si>
    <t>132L</t>
  </si>
  <si>
    <t>190L</t>
  </si>
  <si>
    <t>82M</t>
  </si>
  <si>
    <t>160M</t>
  </si>
  <si>
    <t>230M</t>
  </si>
  <si>
    <t>95L</t>
  </si>
  <si>
    <t>199L</t>
  </si>
  <si>
    <t>280L</t>
  </si>
  <si>
    <t>130M</t>
  </si>
  <si>
    <t>255M</t>
  </si>
  <si>
    <t>380M</t>
  </si>
  <si>
    <t>152L</t>
  </si>
  <si>
    <t>321L</t>
  </si>
  <si>
    <t>460L</t>
  </si>
  <si>
    <t>249L</t>
  </si>
  <si>
    <t>525L</t>
  </si>
  <si>
    <t>800L</t>
  </si>
  <si>
    <t>???</t>
  </si>
  <si>
    <t>50 to 291 L/H range</t>
  </si>
  <si>
    <t>194 to 550 L/H range</t>
  </si>
  <si>
    <t>220 to 1500 L/H range</t>
  </si>
  <si>
    <t>430 to 2000 L/H range</t>
  </si>
  <si>
    <t>???/2</t>
  </si>
  <si>
    <t>430 to 2000 L/H range.  This is a duplex pump (two heads)</t>
  </si>
  <si>
    <t>220 to 1500 L/H range.   This is a duplex pump (two heads)</t>
  </si>
  <si>
    <t>WMB</t>
  </si>
  <si>
    <t>Verder</t>
  </si>
  <si>
    <t>Blackmer</t>
  </si>
  <si>
    <t>SPX-10</t>
  </si>
  <si>
    <t>SPX-15</t>
  </si>
  <si>
    <t>SPX-20</t>
  </si>
  <si>
    <t>SPX-25</t>
  </si>
  <si>
    <t>SPX-40</t>
  </si>
  <si>
    <t>SPX-32</t>
  </si>
  <si>
    <t>SPX-50</t>
  </si>
  <si>
    <t>SPX-65</t>
  </si>
  <si>
    <t>SPX-80</t>
  </si>
  <si>
    <t>SPX-100</t>
  </si>
  <si>
    <t>5 G</t>
  </si>
  <si>
    <t>10 G</t>
  </si>
  <si>
    <t>VF-15</t>
  </si>
  <si>
    <t>VF-25</t>
  </si>
  <si>
    <t>VF-32</t>
  </si>
  <si>
    <t>VF-40</t>
  </si>
  <si>
    <t>VF-50</t>
  </si>
  <si>
    <t>VF-65</t>
  </si>
  <si>
    <t>VF-80</t>
  </si>
  <si>
    <t>VF-100</t>
  </si>
  <si>
    <t>VF-10</t>
  </si>
  <si>
    <t>Periflo</t>
  </si>
  <si>
    <t>VF-125</t>
  </si>
  <si>
    <t>A10</t>
  </si>
  <si>
    <t>A20</t>
  </si>
  <si>
    <t>A25</t>
  </si>
  <si>
    <t>A40</t>
  </si>
  <si>
    <t>A80</t>
  </si>
  <si>
    <t>A100</t>
  </si>
  <si>
    <t>AX40</t>
  </si>
  <si>
    <t>AX65</t>
  </si>
  <si>
    <t>AS125</t>
  </si>
  <si>
    <t>AMP10</t>
  </si>
  <si>
    <t>CT10</t>
  </si>
  <si>
    <t>AMP13</t>
  </si>
  <si>
    <t>CT13</t>
  </si>
  <si>
    <t>AMP16</t>
  </si>
  <si>
    <t>AMP19</t>
  </si>
  <si>
    <t>CT19</t>
  </si>
  <si>
    <t>AMP22</t>
  </si>
  <si>
    <t>CT22</t>
  </si>
  <si>
    <t>RBT25</t>
  </si>
  <si>
    <t>FMP30</t>
  </si>
  <si>
    <t>RBT32</t>
  </si>
  <si>
    <t>FMP40</t>
  </si>
  <si>
    <t>FMP50</t>
  </si>
  <si>
    <t>RBT40</t>
  </si>
  <si>
    <t>RBT60</t>
  </si>
  <si>
    <t>RBT70</t>
  </si>
  <si>
    <t>Larox</t>
  </si>
  <si>
    <t>Eccentric</t>
  </si>
  <si>
    <t>SLP6</t>
  </si>
  <si>
    <t>SLP10</t>
  </si>
  <si>
    <t>SLP13</t>
  </si>
  <si>
    <t>SLP23</t>
  </si>
  <si>
    <t>SLP58</t>
  </si>
  <si>
    <t>SLP128</t>
  </si>
  <si>
    <t>SLP218</t>
  </si>
  <si>
    <t>SLP440</t>
  </si>
  <si>
    <t>SLP654</t>
  </si>
  <si>
    <t>LPPD15</t>
  </si>
  <si>
    <t>LPPD20</t>
  </si>
  <si>
    <t>LPPT25</t>
  </si>
  <si>
    <t>LPPD25</t>
  </si>
  <si>
    <t>LPPT32</t>
  </si>
  <si>
    <t>LPPT40</t>
  </si>
  <si>
    <t>LPPT50</t>
  </si>
  <si>
    <t>LPPT65</t>
  </si>
  <si>
    <t>LPPT80</t>
  </si>
  <si>
    <t>Dampener Size CU Inch</t>
  </si>
  <si>
    <t>Dampener Size L</t>
  </si>
  <si>
    <t>Pump Model Lookup Chart</t>
  </si>
  <si>
    <t>Perstaltic Pumps - Manufacturer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</si>
</sst>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</font>
    <font>
      <sz val="10"/>
      <name val="Arial"/>
    </font>
    <font>
      <u/>
      <sz val="10"/>
      <color theme="10"/>
      <name val="Arial"/>
    </font>
    <font>
      <b/>
      <sz val="14"/>
      <color rgb="FF7030A0"/>
      <name val="Arial"/>
      <family val="2"/>
    </font>
    <font>
      <sz val="8"/>
      <name val="Arial"/>
      <family val="2"/>
    </font>
    <font>
      <b/>
      <sz val="10"/>
      <color rgb="FF7030A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rgb="FF7030A0"/>
      <name val="Arial"/>
      <family val="2"/>
    </font>
    <font>
      <sz val="8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Border="1"/>
    <xf numFmtId="0" fontId="5" fillId="0" borderId="0" xfId="0" applyFont="1"/>
    <xf numFmtId="0" fontId="3" fillId="0" borderId="0" xfId="2" applyBorder="1" applyAlignment="1" applyProtection="1"/>
    <xf numFmtId="0" fontId="5" fillId="2" borderId="5" xfId="0" applyFont="1" applyFill="1" applyBorder="1" applyProtection="1">
      <protection locked="0"/>
    </xf>
    <xf numFmtId="9" fontId="5" fillId="2" borderId="5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4" xfId="0" applyFont="1" applyFill="1" applyBorder="1" applyProtection="1"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Protection="1"/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wrapText="1"/>
    </xf>
    <xf numFmtId="0" fontId="0" fillId="0" borderId="0" xfId="0" applyAlignment="1" applyProtection="1">
      <alignment vertical="top" wrapText="1"/>
    </xf>
    <xf numFmtId="0" fontId="0" fillId="0" borderId="0" xfId="0" quotePrefix="1" applyAlignment="1" applyProtection="1">
      <alignment vertical="top" wrapText="1"/>
    </xf>
    <xf numFmtId="0" fontId="4" fillId="0" borderId="0" xfId="0" applyFont="1" applyProtection="1"/>
    <xf numFmtId="0" fontId="6" fillId="0" borderId="1" xfId="0" applyFont="1" applyBorder="1" applyProtection="1"/>
    <xf numFmtId="0" fontId="5" fillId="0" borderId="2" xfId="0" applyFont="1" applyBorder="1" applyProtection="1"/>
    <xf numFmtId="0" fontId="5" fillId="0" borderId="3" xfId="0" applyFont="1" applyBorder="1" applyProtection="1"/>
    <xf numFmtId="0" fontId="7" fillId="0" borderId="4" xfId="0" applyFont="1" applyBorder="1" applyProtection="1"/>
    <xf numFmtId="0" fontId="5" fillId="0" borderId="5" xfId="0" applyFont="1" applyBorder="1" applyProtection="1"/>
    <xf numFmtId="0" fontId="5" fillId="0" borderId="4" xfId="0" applyFont="1" applyBorder="1" applyProtection="1"/>
    <xf numFmtId="0" fontId="5" fillId="2" borderId="5" xfId="0" applyFont="1" applyFill="1" applyBorder="1" applyProtection="1"/>
    <xf numFmtId="0" fontId="9" fillId="0" borderId="4" xfId="0" applyFont="1" applyBorder="1" applyProtection="1"/>
    <xf numFmtId="0" fontId="10" fillId="0" borderId="0" xfId="0" applyFont="1" applyProtection="1"/>
    <xf numFmtId="0" fontId="10" fillId="0" borderId="5" xfId="0" applyFont="1" applyBorder="1" applyProtection="1"/>
    <xf numFmtId="0" fontId="9" fillId="0" borderId="6" xfId="0" applyFont="1" applyBorder="1" applyProtection="1"/>
    <xf numFmtId="0" fontId="5" fillId="0" borderId="7" xfId="0" applyFont="1" applyBorder="1" applyProtection="1"/>
    <xf numFmtId="0" fontId="10" fillId="0" borderId="8" xfId="0" applyFont="1" applyBorder="1" applyProtection="1"/>
    <xf numFmtId="0" fontId="6" fillId="0" borderId="4" xfId="0" applyFont="1" applyBorder="1" applyProtection="1"/>
    <xf numFmtId="0" fontId="7" fillId="0" borderId="0" xfId="0" applyFont="1" applyProtection="1"/>
    <xf numFmtId="0" fontId="7" fillId="0" borderId="5" xfId="0" applyFont="1" applyBorder="1" applyProtection="1"/>
    <xf numFmtId="0" fontId="0" fillId="0" borderId="0" xfId="0" applyProtection="1"/>
    <xf numFmtId="0" fontId="10" fillId="0" borderId="7" xfId="0" applyFont="1" applyBorder="1" applyProtection="1"/>
    <xf numFmtId="0" fontId="3" fillId="0" borderId="4" xfId="2" applyBorder="1" applyProtection="1"/>
    <xf numFmtId="0" fontId="10" fillId="0" borderId="4" xfId="0" applyFont="1" applyBorder="1" applyProtection="1"/>
    <xf numFmtId="0" fontId="5" fillId="0" borderId="0" xfId="0" quotePrefix="1" applyFont="1" applyProtection="1"/>
    <xf numFmtId="0" fontId="5" fillId="0" borderId="5" xfId="0" applyFont="1" applyBorder="1" applyProtection="1">
      <protection locked="0"/>
    </xf>
  </cellXfs>
  <cellStyles count="3">
    <cellStyle name="Hyperlink" xfId="2" builtinId="8"/>
    <cellStyle name="Normal" xfId="0" builtinId="0"/>
    <cellStyle name="Percent" xfId="1" builtinId="5"/>
  </cellStyles>
  <dxfs count="19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general" vertical="top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alignment horizontal="general" vertical="top" textRotation="0" wrapText="1" indent="0" justifyLastLine="0" shrinkToFit="0" readingOrder="0"/>
      <protection locked="1" hidden="0"/>
    </dxf>
    <dxf>
      <alignment horizontal="general" vertical="top" textRotation="0" wrapText="1" indent="0" justifyLastLine="0" shrinkToFit="0" readingOrder="0"/>
      <protection locked="1" hidden="0"/>
    </dxf>
    <dxf>
      <alignment horizontal="general" vertical="top" textRotation="0" wrapText="1" indent="0" justifyLastLine="0" shrinkToFit="0" readingOrder="0"/>
      <protection locked="1" hidden="0"/>
    </dxf>
    <dxf>
      <alignment horizontal="general" vertical="top" textRotation="0" wrapText="1" indent="0" justifyLastLine="0" shrinkToFit="0" readingOrder="0"/>
      <protection locked="1" hidden="0"/>
    </dxf>
    <dxf>
      <alignment horizontal="general" vertical="top" textRotation="0" wrapText="1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37457</xdr:rowOff>
    </xdr:from>
    <xdr:to>
      <xdr:col>5</xdr:col>
      <xdr:colOff>587</xdr:colOff>
      <xdr:row>69</xdr:row>
      <xdr:rowOff>400050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C27C66-A524-4BFB-97E5-08BF8E7EEC75}"/>
            </a:ext>
          </a:extLst>
        </xdr:cNvPr>
        <xdr:cNvSpPr txBox="1"/>
      </xdr:nvSpPr>
      <xdr:spPr>
        <a:xfrm>
          <a:off x="0" y="4037957"/>
          <a:ext cx="5186950" cy="4864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This Pulsation Dampener sizing</a:t>
          </a:r>
          <a:r>
            <a:rPr lang="en-AU" sz="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chart is based upon removing 93% of pulsation from the peristaltic pump. </a:t>
          </a:r>
        </a:p>
        <a:p>
          <a:r>
            <a:rPr lang="en-AU" sz="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If a higher degree of dampenening is desired, use the next largest size.</a:t>
          </a:r>
        </a:p>
        <a:p>
          <a:r>
            <a:rPr lang="en-AU" sz="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If you know the pump model, use the look up chart.</a:t>
          </a:r>
          <a:endParaRPr lang="en-AU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6350</xdr:colOff>
      <xdr:row>48</xdr:row>
      <xdr:rowOff>70420</xdr:rowOff>
    </xdr:from>
    <xdr:to>
      <xdr:col>2</xdr:col>
      <xdr:colOff>1181100</xdr:colOff>
      <xdr:row>50</xdr:row>
      <xdr:rowOff>452437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27319E-02B8-4437-8FE9-4B776FA21506}"/>
            </a:ext>
          </a:extLst>
        </xdr:cNvPr>
        <xdr:cNvSpPr txBox="1"/>
      </xdr:nvSpPr>
      <xdr:spPr>
        <a:xfrm>
          <a:off x="6350" y="2361183"/>
          <a:ext cx="2708275" cy="6296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This Pulsation Dampener sizing</a:t>
          </a:r>
          <a:r>
            <a:rPr lang="en-AU" sz="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chart is based upon removing 93% of pulsation from the air operated diaphragm  pump. If a higher degree of dampenening is desired, use the next largest size.</a:t>
          </a:r>
          <a:endParaRPr lang="en-AU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50801</xdr:colOff>
      <xdr:row>121</xdr:row>
      <xdr:rowOff>6350</xdr:rowOff>
    </xdr:from>
    <xdr:to>
      <xdr:col>3</xdr:col>
      <xdr:colOff>1181101</xdr:colOff>
      <xdr:row>124</xdr:row>
      <xdr:rowOff>1587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5CC234B-DB66-4BB8-9DCD-A39E0632DC60}"/>
            </a:ext>
          </a:extLst>
        </xdr:cNvPr>
        <xdr:cNvSpPr txBox="1"/>
      </xdr:nvSpPr>
      <xdr:spPr>
        <a:xfrm>
          <a:off x="50801" y="6816725"/>
          <a:ext cx="3887788" cy="3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formula should be used in an application where water hammer is created from the use of a</a:t>
          </a:r>
          <a:r>
            <a:rPr lang="en-AU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AU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quick closing valve.  The system piping should be straight with no elbows or change in pipe diameter -</a:t>
          </a:r>
          <a:r>
            <a:rPr lang="en-AU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AU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if otherwise, please call H2O Rx and submit a drawing of the system piping and valving.</a:t>
          </a:r>
          <a:r>
            <a:rPr lang="en-AU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AU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</xdr:colOff>
      <xdr:row>153</xdr:row>
      <xdr:rowOff>0</xdr:rowOff>
    </xdr:from>
    <xdr:to>
      <xdr:col>4</xdr:col>
      <xdr:colOff>1</xdr:colOff>
      <xdr:row>156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81A2B17-6384-467E-AEAE-56467CCFC872}"/>
            </a:ext>
          </a:extLst>
        </xdr:cNvPr>
        <xdr:cNvSpPr txBox="1"/>
      </xdr:nvSpPr>
      <xdr:spPr>
        <a:xfrm>
          <a:off x="1" y="9286875"/>
          <a:ext cx="3995738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formula should be used in an application where water hammer is created from starting or stopping a pump.  The system piping should be straight with no elbows or change in pipe diameter -</a:t>
          </a:r>
          <a:r>
            <a:rPr lang="en-AU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AU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if otherwise, please call H2O Rx.  The Surge Suppressor's inlet must be at</a:t>
          </a:r>
          <a:r>
            <a:rPr lang="en-AU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lleast equal to pipe diameter to insure unrestricted flow into it.</a:t>
          </a:r>
          <a:r>
            <a:rPr lang="en-AU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AU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12700</xdr:rowOff>
    </xdr:from>
    <xdr:to>
      <xdr:col>6</xdr:col>
      <xdr:colOff>1530350</xdr:colOff>
      <xdr:row>4</xdr:row>
      <xdr:rowOff>82550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D506285-E9BC-4081-A9F0-F8A22A18987F}"/>
            </a:ext>
          </a:extLst>
        </xdr:cNvPr>
        <xdr:cNvSpPr txBox="1"/>
      </xdr:nvSpPr>
      <xdr:spPr>
        <a:xfrm>
          <a:off x="19050" y="12700"/>
          <a:ext cx="6154738" cy="565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To size a dampener</a:t>
          </a:r>
          <a:r>
            <a:rPr lang="en-AU" sz="1100" baseline="0"/>
            <a:t> for a Grundfos pump, use the filters in the heading row to get the best match, read the dampener size and dampener model, then ask H2O Rx for a quote.</a:t>
          </a:r>
          <a:endParaRPr lang="en-AU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61F4AB-D865-4F70-8C9C-25914F4B92C8}" name="Table1" displayName="Table1" ref="A6:G63" totalsRowShown="0" headerRowDxfId="11" dataDxfId="10">
  <autoFilter ref="A6:G63" xr:uid="{7F22977C-7901-4594-A1A7-299B9E6AF77B}"/>
  <tableColumns count="7">
    <tableColumn id="1" xr3:uid="{BA63731A-EC20-4261-886A-3A6133FEA6A5}" name="Code" dataDxfId="18"/>
    <tableColumn id="2" xr3:uid="{30BA3E5A-0949-4CE3-AABE-FA0424827D5F}" name="Prefix" dataDxfId="17"/>
    <tableColumn id="3" xr3:uid="{FE9C86F0-7E23-4741-9D9A-517BC72A3147}" name="Suffix" dataDxfId="16"/>
    <tableColumn id="4" xr3:uid="{EC8EA29E-13D5-4490-8ADB-F3E244CC22FE}" name="Model" dataDxfId="15">
      <calculatedColumnFormula>CONCATENATE(A7," ",B7,"-",C7)</calculatedColumnFormula>
    </tableColumn>
    <tableColumn id="5" xr3:uid="{9EAD0EA8-F507-43E0-A028-8086FDCE1DE6}" name="Dampener Size (L)" dataDxfId="14"/>
    <tableColumn id="7" xr3:uid="{FB2868D5-DB0D-4BF3-91BB-A76500FE2CD8}" name="Dampener Model" dataDxfId="13">
      <calculatedColumnFormula>IF(E7&lt;=0.07,"Sentry III Flat Top",
IF(E7&lt;=0.16,"Sentry III Dome Top",
IF(E7&lt;=0.6,"Sentry II Flat Top",
IF(E7&lt;=1.4,"Sentry II Dome Top",
IF(E7&lt;=2.9,"Sentry I Flat Top",
IF(E7&lt;=6.1,"Sentry I Dome Top",
"Contact H2O Rx"))))))</calculatedColumnFormula>
    </tableColumn>
    <tableColumn id="6" xr3:uid="{5D07B01D-D007-4BF7-B793-3BE7A87231AE}" name="Notes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F0C8A3-B22A-4552-A21B-448DD43939DA}" name="Table2" displayName="Table2" ref="A2:H27" totalsRowShown="0" headerRowDxfId="1" dataDxfId="0">
  <autoFilter ref="A2:H27" xr:uid="{B063CC8E-B656-48D3-B959-B9A68A8055E7}"/>
  <tableColumns count="8">
    <tableColumn id="1" xr3:uid="{3AF1A30E-51D5-4B16-A116-EA03F1C854B7}" name="Dampener Size CU Inch" dataDxfId="9"/>
    <tableColumn id="8" xr3:uid="{4803BE96-EDC2-47BA-B5A1-D3FECEE434A8}" name="Dampener Size L" dataDxfId="8"/>
    <tableColumn id="2" xr3:uid="{74ED3784-155E-4A15-9B78-BC4A27F193F4}" name="WMB" dataDxfId="7"/>
    <tableColumn id="3" xr3:uid="{DCFE87F9-FD93-4794-9806-72791FCA0A28}" name="Verder" dataDxfId="6"/>
    <tableColumn id="4" xr3:uid="{78E3F265-4A6C-4B19-BA9F-5D959AC27575}" name="Blackmer" dataDxfId="5"/>
    <tableColumn id="5" xr3:uid="{709463A3-867F-4A6F-959B-AC6AFF84716D}" name="Periflo" dataDxfId="4"/>
    <tableColumn id="6" xr3:uid="{720DF5A9-E0DF-40D1-A2C5-B6DA64A460CE}" name="Larox" dataDxfId="3"/>
    <tableColumn id="7" xr3:uid="{F56B68B3-00EA-45CE-9CF8-9F2675D59C01}" name="Eccentric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callto:+61409784236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://www.h2orx.com.au/" TargetMode="External"/><Relationship Id="rId1" Type="http://schemas.openxmlformats.org/officeDocument/2006/relationships/hyperlink" Target="mailto:info@h2orx.com.au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5"/>
  <sheetViews>
    <sheetView tabSelected="1" zoomScaleNormal="100" workbookViewId="0">
      <selection activeCell="J67" sqref="J67"/>
    </sheetView>
  </sheetViews>
  <sheetFormatPr defaultColWidth="10.73046875" defaultRowHeight="9.9499999999999993" customHeight="1" x14ac:dyDescent="0.3"/>
  <cols>
    <col min="1" max="1" width="14.265625" style="1" customWidth="1"/>
    <col min="2" max="2" width="10.73046875" style="1"/>
    <col min="3" max="3" width="17.1328125" style="1" customWidth="1"/>
    <col min="4" max="4" width="17.33203125" style="1" bestFit="1" customWidth="1"/>
    <col min="5" max="5" width="13.1328125" style="1" customWidth="1"/>
    <col min="6" max="7" width="10.73046875" style="1"/>
    <col min="8" max="8" width="13.1328125" style="1" customWidth="1"/>
    <col min="9" max="16384" width="10.73046875" style="1"/>
  </cols>
  <sheetData>
    <row r="1" spans="1:5" ht="17.649999999999999" x14ac:dyDescent="0.5">
      <c r="A1" s="15" t="s">
        <v>0</v>
      </c>
      <c r="B1" s="10"/>
      <c r="C1" s="10"/>
      <c r="D1" s="10"/>
      <c r="E1" s="10"/>
    </row>
    <row r="2" spans="1:5" ht="9.9499999999999993" customHeight="1" x14ac:dyDescent="0.5">
      <c r="A2" s="15"/>
      <c r="B2" s="10"/>
      <c r="C2" s="10"/>
      <c r="D2" s="10"/>
      <c r="E2" s="10"/>
    </row>
    <row r="3" spans="1:5" ht="13.15" x14ac:dyDescent="0.4">
      <c r="A3" s="16" t="s">
        <v>1</v>
      </c>
      <c r="B3" s="17"/>
      <c r="C3" s="17"/>
      <c r="D3" s="18"/>
      <c r="E3" s="10"/>
    </row>
    <row r="4" spans="1:5" ht="9.9499999999999993" customHeight="1" x14ac:dyDescent="0.3">
      <c r="A4" s="19" t="s">
        <v>2</v>
      </c>
      <c r="B4" s="10"/>
      <c r="C4" s="10"/>
      <c r="D4" s="20"/>
      <c r="E4" s="10"/>
    </row>
    <row r="5" spans="1:5" ht="9.9499999999999993" customHeight="1" x14ac:dyDescent="0.35">
      <c r="A5" s="19" t="s">
        <v>3</v>
      </c>
      <c r="B5" s="10"/>
      <c r="C5" s="3" t="s">
        <v>4</v>
      </c>
      <c r="D5" s="20" t="s">
        <v>5</v>
      </c>
      <c r="E5" s="10"/>
    </row>
    <row r="6" spans="1:5" ht="9.9499999999999993" customHeight="1" x14ac:dyDescent="0.3">
      <c r="A6" s="21" t="s">
        <v>6</v>
      </c>
      <c r="B6" s="10" t="s">
        <v>7</v>
      </c>
      <c r="C6" s="10"/>
      <c r="D6" s="4">
        <v>300</v>
      </c>
      <c r="E6" s="10"/>
    </row>
    <row r="7" spans="1:5" ht="9.9499999999999993" customHeight="1" x14ac:dyDescent="0.3">
      <c r="A7" s="21" t="s">
        <v>8</v>
      </c>
      <c r="B7" s="10" t="s">
        <v>9</v>
      </c>
      <c r="C7" s="10"/>
      <c r="D7" s="4">
        <v>50</v>
      </c>
      <c r="E7" s="10"/>
    </row>
    <row r="8" spans="1:5" ht="9.9499999999999993" customHeight="1" x14ac:dyDescent="0.3">
      <c r="A8" s="21" t="s">
        <v>10</v>
      </c>
      <c r="B8" s="10" t="s">
        <v>11</v>
      </c>
      <c r="C8" s="10"/>
      <c r="D8" s="4">
        <v>1000</v>
      </c>
      <c r="E8" s="10"/>
    </row>
    <row r="9" spans="1:5" ht="9.9499999999999993" customHeight="1" x14ac:dyDescent="0.3">
      <c r="A9" s="21" t="s">
        <v>12</v>
      </c>
      <c r="B9" s="10" t="s">
        <v>13</v>
      </c>
      <c r="C9" s="10"/>
      <c r="D9" s="5">
        <v>2.5000000000000001E-2</v>
      </c>
      <c r="E9" s="10"/>
    </row>
    <row r="10" spans="1:5" ht="9.9499999999999993" customHeight="1" x14ac:dyDescent="0.3">
      <c r="A10" s="21" t="s">
        <v>14</v>
      </c>
      <c r="B10" s="10" t="s">
        <v>15</v>
      </c>
      <c r="C10" s="6" t="s">
        <v>16</v>
      </c>
      <c r="D10" s="20">
        <f>VLOOKUP(C10,A16:B17,2,FALSE)</f>
        <v>0.71399999999999997</v>
      </c>
      <c r="E10" s="10"/>
    </row>
    <row r="11" spans="1:5" ht="9.9499999999999993" customHeight="1" x14ac:dyDescent="0.3">
      <c r="A11" s="21" t="s">
        <v>17</v>
      </c>
      <c r="B11" s="10" t="s">
        <v>18</v>
      </c>
      <c r="C11" s="6" t="s">
        <v>19</v>
      </c>
      <c r="D11" s="20">
        <f>VLOOKUP(C11,A20:B29,2,FALSE)</f>
        <v>0.6</v>
      </c>
      <c r="E11" s="10"/>
    </row>
    <row r="12" spans="1:5" ht="9.9499999999999993" hidden="1" customHeight="1" x14ac:dyDescent="0.3">
      <c r="A12" s="21"/>
      <c r="B12" s="10"/>
      <c r="C12" s="10"/>
      <c r="D12" s="20"/>
      <c r="E12" s="10"/>
    </row>
    <row r="13" spans="1:5" ht="9.9499999999999993" hidden="1" customHeight="1" x14ac:dyDescent="0.3">
      <c r="A13" s="21" t="s">
        <v>20</v>
      </c>
      <c r="B13" s="10"/>
      <c r="C13" s="10"/>
      <c r="D13" s="20"/>
      <c r="E13" s="10"/>
    </row>
    <row r="14" spans="1:5" ht="9.9499999999999993" hidden="1" customHeight="1" x14ac:dyDescent="0.3">
      <c r="A14" s="21"/>
      <c r="B14" s="10"/>
      <c r="C14" s="10"/>
      <c r="D14" s="20"/>
      <c r="E14" s="10"/>
    </row>
    <row r="15" spans="1:5" ht="9.9499999999999993" hidden="1" customHeight="1" x14ac:dyDescent="0.3">
      <c r="A15" s="21" t="s">
        <v>14</v>
      </c>
      <c r="B15" s="10" t="s">
        <v>21</v>
      </c>
      <c r="C15" s="10"/>
      <c r="D15" s="20"/>
      <c r="E15" s="10"/>
    </row>
    <row r="16" spans="1:5" ht="9.9499999999999993" hidden="1" customHeight="1" x14ac:dyDescent="0.3">
      <c r="A16" s="21" t="s">
        <v>16</v>
      </c>
      <c r="B16" s="10">
        <v>0.71399999999999997</v>
      </c>
      <c r="C16" s="10"/>
      <c r="D16" s="20"/>
      <c r="E16" s="10"/>
    </row>
    <row r="17" spans="1:5" ht="9.9499999999999993" hidden="1" customHeight="1" x14ac:dyDescent="0.3">
      <c r="A17" s="21" t="s">
        <v>22</v>
      </c>
      <c r="B17" s="10">
        <v>1</v>
      </c>
      <c r="C17" s="10"/>
      <c r="D17" s="20"/>
      <c r="E17" s="10"/>
    </row>
    <row r="18" spans="1:5" ht="9.9499999999999993" hidden="1" customHeight="1" x14ac:dyDescent="0.3">
      <c r="A18" s="21"/>
      <c r="B18" s="10"/>
      <c r="C18" s="10"/>
      <c r="D18" s="20"/>
      <c r="E18" s="10"/>
    </row>
    <row r="19" spans="1:5" ht="9.9499999999999993" hidden="1" customHeight="1" x14ac:dyDescent="0.3">
      <c r="A19" s="21" t="s">
        <v>17</v>
      </c>
      <c r="B19" s="10" t="s">
        <v>23</v>
      </c>
      <c r="C19" s="10"/>
      <c r="D19" s="20"/>
      <c r="E19" s="10"/>
    </row>
    <row r="20" spans="1:5" ht="9.9499999999999993" hidden="1" customHeight="1" x14ac:dyDescent="0.3">
      <c r="A20" s="21" t="s">
        <v>19</v>
      </c>
      <c r="B20" s="10">
        <v>0.6</v>
      </c>
      <c r="C20" s="10"/>
      <c r="D20" s="20"/>
      <c r="E20" s="10"/>
    </row>
    <row r="21" spans="1:5" ht="9.9499999999999993" hidden="1" customHeight="1" x14ac:dyDescent="0.3">
      <c r="A21" s="21" t="s">
        <v>24</v>
      </c>
      <c r="B21" s="10">
        <v>0.25</v>
      </c>
      <c r="C21" s="10"/>
      <c r="D21" s="20"/>
      <c r="E21" s="10"/>
    </row>
    <row r="22" spans="1:5" ht="9.9499999999999993" hidden="1" customHeight="1" x14ac:dyDescent="0.3">
      <c r="A22" s="21" t="s">
        <v>25</v>
      </c>
      <c r="B22" s="10">
        <v>0.25</v>
      </c>
      <c r="C22" s="10"/>
      <c r="D22" s="20"/>
      <c r="E22" s="10"/>
    </row>
    <row r="23" spans="1:5" ht="9.9499999999999993" hidden="1" customHeight="1" x14ac:dyDescent="0.3">
      <c r="A23" s="21" t="s">
        <v>26</v>
      </c>
      <c r="B23" s="10">
        <v>0.15</v>
      </c>
      <c r="C23" s="10"/>
      <c r="D23" s="20"/>
      <c r="E23" s="10"/>
    </row>
    <row r="24" spans="1:5" ht="9.9499999999999993" hidden="1" customHeight="1" x14ac:dyDescent="0.3">
      <c r="A24" s="21" t="s">
        <v>27</v>
      </c>
      <c r="B24" s="10">
        <v>0.13</v>
      </c>
      <c r="C24" s="10"/>
      <c r="D24" s="20"/>
      <c r="E24" s="10"/>
    </row>
    <row r="25" spans="1:5" ht="9.9499999999999993" hidden="1" customHeight="1" x14ac:dyDescent="0.3">
      <c r="A25" s="21" t="s">
        <v>28</v>
      </c>
      <c r="B25" s="10">
        <v>0.06</v>
      </c>
      <c r="C25" s="10"/>
      <c r="D25" s="20"/>
      <c r="E25" s="10"/>
    </row>
    <row r="26" spans="1:5" ht="9.9499999999999993" hidden="1" customHeight="1" x14ac:dyDescent="0.3">
      <c r="A26" s="21" t="s">
        <v>29</v>
      </c>
      <c r="B26" s="10">
        <v>0.1</v>
      </c>
      <c r="C26" s="10"/>
      <c r="D26" s="20"/>
      <c r="E26" s="10"/>
    </row>
    <row r="27" spans="1:5" ht="9.9499999999999993" hidden="1" customHeight="1" x14ac:dyDescent="0.3">
      <c r="A27" s="21" t="s">
        <v>30</v>
      </c>
      <c r="B27" s="10">
        <v>0.06</v>
      </c>
      <c r="C27" s="10"/>
      <c r="D27" s="20"/>
      <c r="E27" s="10"/>
    </row>
    <row r="28" spans="1:5" ht="9.9499999999999993" hidden="1" customHeight="1" x14ac:dyDescent="0.3">
      <c r="A28" s="21" t="s">
        <v>31</v>
      </c>
      <c r="B28" s="10">
        <v>0.06</v>
      </c>
      <c r="C28" s="10"/>
      <c r="D28" s="20"/>
      <c r="E28" s="10"/>
    </row>
    <row r="29" spans="1:5" ht="9.9499999999999993" hidden="1" customHeight="1" x14ac:dyDescent="0.3">
      <c r="A29" s="21" t="s">
        <v>32</v>
      </c>
      <c r="B29" s="10">
        <v>0.02</v>
      </c>
      <c r="C29" s="10"/>
      <c r="D29" s="20"/>
      <c r="E29" s="10"/>
    </row>
    <row r="30" spans="1:5" ht="9.9499999999999993" hidden="1" customHeight="1" x14ac:dyDescent="0.3">
      <c r="A30" s="21"/>
      <c r="B30" s="10"/>
      <c r="C30" s="10"/>
      <c r="D30" s="20"/>
      <c r="E30" s="10"/>
    </row>
    <row r="31" spans="1:5" ht="9.9499999999999993" hidden="1" customHeight="1" x14ac:dyDescent="0.3">
      <c r="A31" s="21"/>
      <c r="B31" s="10"/>
      <c r="C31" s="10"/>
      <c r="D31" s="20"/>
      <c r="E31" s="10"/>
    </row>
    <row r="32" spans="1:5" ht="9.9499999999999993" hidden="1" customHeight="1" x14ac:dyDescent="0.3">
      <c r="A32" s="21" t="s">
        <v>33</v>
      </c>
      <c r="B32" s="10"/>
      <c r="C32" s="10"/>
      <c r="D32" s="20"/>
      <c r="E32" s="10"/>
    </row>
    <row r="33" spans="1:5" ht="9.9499999999999993" hidden="1" customHeight="1" x14ac:dyDescent="0.3">
      <c r="A33" s="21" t="s">
        <v>6</v>
      </c>
      <c r="B33" s="10" t="s">
        <v>34</v>
      </c>
      <c r="C33" s="10"/>
      <c r="D33" s="20">
        <f>D6/60</f>
        <v>5</v>
      </c>
      <c r="E33" s="10"/>
    </row>
    <row r="34" spans="1:5" ht="9.9499999999999993" hidden="1" customHeight="1" x14ac:dyDescent="0.3">
      <c r="A34" s="21" t="s">
        <v>35</v>
      </c>
      <c r="B34" s="10" t="s">
        <v>36</v>
      </c>
      <c r="C34" s="10"/>
      <c r="D34" s="20">
        <f>D33/D7</f>
        <v>0.1</v>
      </c>
      <c r="E34" s="10"/>
    </row>
    <row r="35" spans="1:5" ht="9.9499999999999993" hidden="1" customHeight="1" x14ac:dyDescent="0.3">
      <c r="A35" s="21"/>
      <c r="B35" s="10" t="s">
        <v>37</v>
      </c>
      <c r="C35" s="10"/>
      <c r="D35" s="20">
        <f>D34/3.785</f>
        <v>2.6420079260237782E-2</v>
      </c>
      <c r="E35" s="10"/>
    </row>
    <row r="36" spans="1:5" ht="9.9499999999999993" hidden="1" customHeight="1" x14ac:dyDescent="0.3">
      <c r="A36" s="21"/>
      <c r="B36" s="10" t="s">
        <v>38</v>
      </c>
      <c r="C36" s="10"/>
      <c r="D36" s="20">
        <f>D34/0.016387064</f>
        <v>6.1023744094732288</v>
      </c>
      <c r="E36" s="10"/>
    </row>
    <row r="37" spans="1:5" ht="9.9499999999999993" hidden="1" customHeight="1" x14ac:dyDescent="0.3">
      <c r="A37" s="21" t="s">
        <v>39</v>
      </c>
      <c r="B37" s="10" t="s">
        <v>11</v>
      </c>
      <c r="C37" s="10"/>
      <c r="D37" s="20">
        <f>D8-(D8*D9)</f>
        <v>975</v>
      </c>
      <c r="E37" s="10"/>
    </row>
    <row r="38" spans="1:5" ht="9.9499999999999993" hidden="1" customHeight="1" x14ac:dyDescent="0.3">
      <c r="A38" s="21"/>
      <c r="B38" s="10" t="s">
        <v>40</v>
      </c>
      <c r="C38" s="10"/>
      <c r="D38" s="20">
        <f>D37*14.5038/100</f>
        <v>141.41204999999999</v>
      </c>
      <c r="E38" s="10"/>
    </row>
    <row r="39" spans="1:5" ht="9.9499999999999993" hidden="1" customHeight="1" x14ac:dyDescent="0.3">
      <c r="A39" s="21" t="s">
        <v>41</v>
      </c>
      <c r="B39" s="10" t="s">
        <v>11</v>
      </c>
      <c r="C39" s="10"/>
      <c r="D39" s="20">
        <f>D8+(D8*D9)</f>
        <v>1025</v>
      </c>
      <c r="E39" s="10"/>
    </row>
    <row r="40" spans="1:5" ht="9.9499999999999993" hidden="1" customHeight="1" x14ac:dyDescent="0.3">
      <c r="A40" s="21"/>
      <c r="B40" s="10" t="s">
        <v>40</v>
      </c>
      <c r="C40" s="10"/>
      <c r="D40" s="20">
        <f>D39*14.5038/100</f>
        <v>148.66395</v>
      </c>
      <c r="E40" s="10"/>
    </row>
    <row r="41" spans="1:5" ht="9.9499999999999993" hidden="1" customHeight="1" x14ac:dyDescent="0.3">
      <c r="A41" s="21" t="s">
        <v>42</v>
      </c>
      <c r="B41" s="10" t="s">
        <v>43</v>
      </c>
      <c r="C41" s="10"/>
      <c r="D41" s="20">
        <f>D8*0.01</f>
        <v>10</v>
      </c>
      <c r="E41" s="10"/>
    </row>
    <row r="42" spans="1:5" ht="9.9499999999999993" hidden="1" customHeight="1" x14ac:dyDescent="0.3">
      <c r="A42" s="21"/>
      <c r="B42" s="10" t="s">
        <v>40</v>
      </c>
      <c r="C42" s="10"/>
      <c r="D42" s="20">
        <f>D41*14.5038</f>
        <v>145.03800000000001</v>
      </c>
      <c r="E42" s="10"/>
    </row>
    <row r="43" spans="1:5" ht="9.9499999999999993" customHeight="1" x14ac:dyDescent="0.3">
      <c r="A43" s="23" t="s">
        <v>44</v>
      </c>
      <c r="B43" s="24" t="s">
        <v>45</v>
      </c>
      <c r="C43" s="24"/>
      <c r="D43" s="25">
        <f>ROUND((D36*D11*(D42/D38)^D10)/(1-(D42/D40)^D10),0)</f>
        <v>213</v>
      </c>
      <c r="E43" s="10"/>
    </row>
    <row r="44" spans="1:5" ht="9.9499999999999993" customHeight="1" x14ac:dyDescent="0.3">
      <c r="A44" s="23"/>
      <c r="B44" s="24" t="s">
        <v>46</v>
      </c>
      <c r="C44" s="24"/>
      <c r="D44" s="25">
        <f>ROUND(D43*0.016387064,2)</f>
        <v>3.49</v>
      </c>
      <c r="E44" s="10"/>
    </row>
    <row r="45" spans="1:5" ht="9.9499999999999993" customHeight="1" x14ac:dyDescent="0.3">
      <c r="A45" s="26" t="s">
        <v>47</v>
      </c>
      <c r="B45" s="27"/>
      <c r="C45" s="27"/>
      <c r="D45" s="28" t="str">
        <f>IF(D44&lt;=0.07,"Sentry III Flat Top",
IF(D44&lt;=0.16,"Sentry III Dome Top",
IF(D44&lt;=0.6,"Sentry II Flat Top",
IF(D44&lt;=1.4,"Sentry II Dome Top",
IF(D44&lt;=2.9,"Sentry I Flat Top",
IF(D44&lt;=6.1,"Sentry I Dome Top",
"Contact H2O Rx"))))))</f>
        <v>Sentry I Dome Top</v>
      </c>
      <c r="E45" s="10"/>
    </row>
    <row r="46" spans="1:5" ht="9.9499999999999993" customHeight="1" x14ac:dyDescent="0.3">
      <c r="A46" s="10"/>
      <c r="B46" s="10"/>
      <c r="C46" s="10"/>
      <c r="D46" s="10"/>
      <c r="E46" s="10"/>
    </row>
    <row r="47" spans="1:5" ht="9.9499999999999993" customHeight="1" x14ac:dyDescent="0.3">
      <c r="A47" s="10"/>
      <c r="B47" s="10"/>
      <c r="C47" s="10"/>
      <c r="D47" s="10"/>
      <c r="E47" s="10"/>
    </row>
    <row r="48" spans="1:5" ht="13.15" x14ac:dyDescent="0.4">
      <c r="A48" s="16" t="s">
        <v>48</v>
      </c>
      <c r="B48" s="17"/>
      <c r="C48" s="18"/>
      <c r="D48" s="10"/>
      <c r="E48" s="10"/>
    </row>
    <row r="49" spans="1:5" ht="9.9499999999999993" customHeight="1" x14ac:dyDescent="0.4">
      <c r="A49" s="29"/>
      <c r="B49" s="10"/>
      <c r="C49" s="20"/>
      <c r="D49" s="10"/>
      <c r="E49" s="10"/>
    </row>
    <row r="50" spans="1:5" ht="9.9499999999999993" customHeight="1" x14ac:dyDescent="0.4">
      <c r="A50" s="29"/>
      <c r="B50" s="10"/>
      <c r="C50" s="20"/>
      <c r="D50" s="10"/>
      <c r="E50" s="10"/>
    </row>
    <row r="51" spans="1:5" ht="43.5" customHeight="1" x14ac:dyDescent="0.4">
      <c r="A51" s="29"/>
      <c r="B51" s="10"/>
      <c r="C51" s="20"/>
      <c r="D51" s="10"/>
      <c r="E51" s="10"/>
    </row>
    <row r="52" spans="1:5" ht="9.9499999999999993" customHeight="1" x14ac:dyDescent="0.3">
      <c r="A52" s="19" t="s">
        <v>49</v>
      </c>
      <c r="B52" s="30" t="s">
        <v>50</v>
      </c>
      <c r="C52" s="31"/>
      <c r="D52" s="30"/>
      <c r="E52" s="30"/>
    </row>
    <row r="53" spans="1:5" ht="9.9499999999999993" customHeight="1" x14ac:dyDescent="0.3">
      <c r="A53" s="19" t="s">
        <v>51</v>
      </c>
      <c r="B53" s="30" t="s">
        <v>52</v>
      </c>
      <c r="C53" s="31" t="s">
        <v>46</v>
      </c>
      <c r="D53" s="30"/>
      <c r="E53" s="30"/>
    </row>
    <row r="54" spans="1:5" ht="9.9499999999999993" hidden="1" customHeight="1" x14ac:dyDescent="0.35">
      <c r="A54" s="21" t="s">
        <v>53</v>
      </c>
      <c r="B54" s="10">
        <v>10</v>
      </c>
      <c r="C54" s="20">
        <f>ROUNDUP(B54*0.016387064,2)</f>
        <v>0.17</v>
      </c>
      <c r="D54" s="32"/>
      <c r="E54" s="10"/>
    </row>
    <row r="55" spans="1:5" ht="9.9499999999999993" hidden="1" customHeight="1" x14ac:dyDescent="0.35">
      <c r="A55" s="21" t="s">
        <v>54</v>
      </c>
      <c r="B55" s="10">
        <v>10</v>
      </c>
      <c r="C55" s="20">
        <f t="shared" ref="C55:C63" si="0">ROUNDUP(B55*0.016387064,2)</f>
        <v>0.17</v>
      </c>
      <c r="D55" s="32"/>
      <c r="E55" s="10"/>
    </row>
    <row r="56" spans="1:5" ht="9.9499999999999993" hidden="1" customHeight="1" x14ac:dyDescent="0.35">
      <c r="A56" s="21" t="s">
        <v>55</v>
      </c>
      <c r="B56" s="10">
        <v>36</v>
      </c>
      <c r="C56" s="20">
        <f t="shared" si="0"/>
        <v>0.59</v>
      </c>
      <c r="D56" s="32"/>
      <c r="E56" s="10"/>
    </row>
    <row r="57" spans="1:5" ht="9.9499999999999993" hidden="1" customHeight="1" x14ac:dyDescent="0.35">
      <c r="A57" s="21" t="s">
        <v>56</v>
      </c>
      <c r="B57" s="10">
        <v>85</v>
      </c>
      <c r="C57" s="20">
        <f t="shared" si="0"/>
        <v>1.4</v>
      </c>
      <c r="D57" s="32"/>
      <c r="E57" s="10"/>
    </row>
    <row r="58" spans="1:5" ht="9.9499999999999993" hidden="1" customHeight="1" x14ac:dyDescent="0.35">
      <c r="A58" s="21" t="s">
        <v>57</v>
      </c>
      <c r="B58" s="10">
        <v>85</v>
      </c>
      <c r="C58" s="20">
        <f t="shared" si="0"/>
        <v>1.4</v>
      </c>
      <c r="D58" s="32"/>
      <c r="E58" s="10"/>
    </row>
    <row r="59" spans="1:5" ht="9.9499999999999993" hidden="1" customHeight="1" x14ac:dyDescent="0.35">
      <c r="A59" s="21" t="s">
        <v>58</v>
      </c>
      <c r="B59" s="10">
        <v>175</v>
      </c>
      <c r="C59" s="20">
        <f t="shared" si="0"/>
        <v>2.8699999999999997</v>
      </c>
      <c r="D59" s="32"/>
      <c r="E59" s="10"/>
    </row>
    <row r="60" spans="1:5" ht="9.9499999999999993" hidden="1" customHeight="1" x14ac:dyDescent="0.35">
      <c r="A60" s="21" t="s">
        <v>59</v>
      </c>
      <c r="B60" s="10">
        <v>175</v>
      </c>
      <c r="C60" s="20">
        <f t="shared" si="0"/>
        <v>2.8699999999999997</v>
      </c>
      <c r="D60" s="32"/>
      <c r="E60" s="10"/>
    </row>
    <row r="61" spans="1:5" ht="9.9499999999999993" hidden="1" customHeight="1" x14ac:dyDescent="0.35">
      <c r="A61" s="21" t="s">
        <v>60</v>
      </c>
      <c r="B61" s="10">
        <v>370</v>
      </c>
      <c r="C61" s="20">
        <f t="shared" si="0"/>
        <v>6.0699999999999994</v>
      </c>
      <c r="D61" s="32"/>
      <c r="E61" s="10"/>
    </row>
    <row r="62" spans="1:5" ht="9.9499999999999993" hidden="1" customHeight="1" x14ac:dyDescent="0.35">
      <c r="A62" s="21" t="s">
        <v>61</v>
      </c>
      <c r="B62" s="10">
        <v>1155</v>
      </c>
      <c r="C62" s="20">
        <f t="shared" si="0"/>
        <v>18.930000000000003</v>
      </c>
      <c r="D62" s="32"/>
      <c r="E62" s="10"/>
    </row>
    <row r="63" spans="1:5" ht="9.9499999999999993" hidden="1" customHeight="1" x14ac:dyDescent="0.35">
      <c r="A63" s="21" t="s">
        <v>62</v>
      </c>
      <c r="B63" s="10">
        <v>1155</v>
      </c>
      <c r="C63" s="20">
        <f t="shared" si="0"/>
        <v>18.930000000000003</v>
      </c>
      <c r="D63" s="32"/>
      <c r="E63" s="10"/>
    </row>
    <row r="64" spans="1:5" ht="9.9499999999999993" customHeight="1" x14ac:dyDescent="0.3">
      <c r="A64" s="7" t="s">
        <v>59</v>
      </c>
      <c r="B64" s="24">
        <f>VLOOKUP(A64,A54:C63,2,FALSE)</f>
        <v>175</v>
      </c>
      <c r="C64" s="25">
        <f>VLOOKUP(A64,A54:C63,3,FALSE)</f>
        <v>2.8699999999999997</v>
      </c>
      <c r="D64" s="10"/>
      <c r="E64" s="10"/>
    </row>
    <row r="65" spans="1:5" ht="9.9499999999999993" customHeight="1" x14ac:dyDescent="0.3">
      <c r="A65" s="26" t="s">
        <v>47</v>
      </c>
      <c r="B65" s="33"/>
      <c r="C65" s="28" t="str">
        <f>IF(C64&lt;=0.07,"Sentry III Flat Top",
IF(C64&lt;=0.16,"Sentry III Dome Top",
IF(C64&lt;=0.6,"Sentry II Flat Top",
IF(C64&lt;=1.4,"Sentry II Dome Top",
IF(C64&lt;=2.9,"Sentry I Flat Top",
IF(C64&lt;=6.1,"Sentry I Dome Top",
"Contact H2O Rx"))))))</f>
        <v>Sentry I Flat Top</v>
      </c>
      <c r="D65" s="10"/>
      <c r="E65" s="10"/>
    </row>
    <row r="66" spans="1:5" ht="9.9499999999999993" customHeight="1" x14ac:dyDescent="0.3">
      <c r="A66" s="10"/>
      <c r="B66" s="10"/>
      <c r="C66" s="10"/>
      <c r="D66" s="10"/>
      <c r="E66" s="10"/>
    </row>
    <row r="67" spans="1:5" ht="9.9499999999999993" customHeight="1" x14ac:dyDescent="0.3">
      <c r="A67" s="10"/>
      <c r="B67" s="10"/>
      <c r="C67" s="10"/>
      <c r="D67" s="10"/>
      <c r="E67" s="10"/>
    </row>
    <row r="68" spans="1:5" ht="13.15" x14ac:dyDescent="0.4">
      <c r="A68" s="16" t="s">
        <v>63</v>
      </c>
      <c r="B68" s="17"/>
      <c r="C68" s="17"/>
      <c r="D68" s="17"/>
      <c r="E68" s="18"/>
    </row>
    <row r="69" spans="1:5" ht="9.9499999999999993" customHeight="1" x14ac:dyDescent="0.4">
      <c r="A69" s="29"/>
      <c r="B69" s="10"/>
      <c r="C69" s="10"/>
      <c r="D69" s="10"/>
      <c r="E69" s="20"/>
    </row>
    <row r="70" spans="1:5" ht="40.5" customHeight="1" x14ac:dyDescent="0.4">
      <c r="A70" s="29"/>
      <c r="B70" s="10"/>
      <c r="C70" s="10"/>
      <c r="D70" s="10"/>
      <c r="E70" s="20"/>
    </row>
    <row r="71" spans="1:5" ht="14.65" customHeight="1" x14ac:dyDescent="0.35">
      <c r="A71" s="34" t="s">
        <v>266</v>
      </c>
      <c r="B71" s="10"/>
      <c r="C71" s="10"/>
      <c r="D71" s="10"/>
      <c r="E71" s="20"/>
    </row>
    <row r="72" spans="1:5" ht="9.9499999999999993" customHeight="1" x14ac:dyDescent="0.3">
      <c r="A72" s="19" t="s">
        <v>49</v>
      </c>
      <c r="B72" s="10"/>
      <c r="C72" s="10"/>
      <c r="D72" s="30" t="s">
        <v>50</v>
      </c>
      <c r="E72" s="31"/>
    </row>
    <row r="73" spans="1:5" ht="9.9499999999999993" customHeight="1" x14ac:dyDescent="0.3">
      <c r="A73" s="19" t="s">
        <v>51</v>
      </c>
      <c r="B73" s="30" t="s">
        <v>64</v>
      </c>
      <c r="C73" s="30" t="s">
        <v>65</v>
      </c>
      <c r="D73" s="30" t="s">
        <v>52</v>
      </c>
      <c r="E73" s="31" t="s">
        <v>46</v>
      </c>
    </row>
    <row r="74" spans="1:5" ht="9.9499999999999993" hidden="1" customHeight="1" x14ac:dyDescent="0.3">
      <c r="A74" s="21" t="s">
        <v>53</v>
      </c>
      <c r="B74" s="10">
        <v>4.0000000000000001E-3</v>
      </c>
      <c r="C74" s="10">
        <f>ROUNDUP(B74*3.78541178,2)</f>
        <v>0.02</v>
      </c>
      <c r="D74" s="10">
        <v>10</v>
      </c>
      <c r="E74" s="20">
        <f t="shared" ref="E74:E86" si="1">ROUNDUP(D74*0.016387064,2)</f>
        <v>0.17</v>
      </c>
    </row>
    <row r="75" spans="1:5" ht="9.9499999999999993" hidden="1" customHeight="1" x14ac:dyDescent="0.3">
      <c r="A75" s="21" t="s">
        <v>54</v>
      </c>
      <c r="B75" s="10">
        <v>4.0000000000000001E-3</v>
      </c>
      <c r="C75" s="10">
        <f t="shared" ref="C75:C86" si="2">ROUNDUP(B75*3.78541178,2)</f>
        <v>0.02</v>
      </c>
      <c r="D75" s="10">
        <v>10</v>
      </c>
      <c r="E75" s="20">
        <f t="shared" si="1"/>
        <v>0.17</v>
      </c>
    </row>
    <row r="76" spans="1:5" ht="9.9499999999999993" hidden="1" customHeight="1" x14ac:dyDescent="0.3">
      <c r="A76" s="21" t="s">
        <v>55</v>
      </c>
      <c r="B76" s="10">
        <v>5.7999999999999996E-3</v>
      </c>
      <c r="C76" s="10">
        <f t="shared" si="2"/>
        <v>0.03</v>
      </c>
      <c r="D76" s="10">
        <v>10</v>
      </c>
      <c r="E76" s="20">
        <f t="shared" si="1"/>
        <v>0.17</v>
      </c>
    </row>
    <row r="77" spans="1:5" ht="9.9499999999999993" hidden="1" customHeight="1" x14ac:dyDescent="0.3">
      <c r="A77" s="21" t="s">
        <v>56</v>
      </c>
      <c r="B77" s="10">
        <v>2.1999999999999999E-2</v>
      </c>
      <c r="C77" s="10">
        <f t="shared" si="2"/>
        <v>0.09</v>
      </c>
      <c r="D77" s="10">
        <v>36</v>
      </c>
      <c r="E77" s="20">
        <f t="shared" si="1"/>
        <v>0.59</v>
      </c>
    </row>
    <row r="78" spans="1:5" ht="9.9499999999999993" hidden="1" customHeight="1" x14ac:dyDescent="0.3">
      <c r="A78" s="21" t="s">
        <v>57</v>
      </c>
      <c r="B78" s="10">
        <v>7.9000000000000001E-2</v>
      </c>
      <c r="C78" s="10">
        <f t="shared" si="2"/>
        <v>0.3</v>
      </c>
      <c r="D78" s="10">
        <v>85</v>
      </c>
      <c r="E78" s="20">
        <f t="shared" si="1"/>
        <v>1.4</v>
      </c>
    </row>
    <row r="79" spans="1:5" ht="9.9499999999999993" hidden="1" customHeight="1" x14ac:dyDescent="0.3">
      <c r="A79" s="21" t="s">
        <v>58</v>
      </c>
      <c r="B79" s="10">
        <v>0.16700000000000001</v>
      </c>
      <c r="C79" s="10">
        <f t="shared" si="2"/>
        <v>0.64</v>
      </c>
      <c r="D79" s="10">
        <v>175</v>
      </c>
      <c r="E79" s="20">
        <f t="shared" si="1"/>
        <v>2.8699999999999997</v>
      </c>
    </row>
    <row r="80" spans="1:5" ht="9.9499999999999993" hidden="1" customHeight="1" x14ac:dyDescent="0.3">
      <c r="A80" s="21" t="s">
        <v>59</v>
      </c>
      <c r="B80" s="10">
        <v>0.35</v>
      </c>
      <c r="C80" s="10">
        <f t="shared" si="2"/>
        <v>1.33</v>
      </c>
      <c r="D80" s="10">
        <v>175</v>
      </c>
      <c r="E80" s="20">
        <f t="shared" si="1"/>
        <v>2.8699999999999997</v>
      </c>
    </row>
    <row r="81" spans="1:5" ht="9.9499999999999993" hidden="1" customHeight="1" x14ac:dyDescent="0.3">
      <c r="A81" s="21" t="s">
        <v>60</v>
      </c>
      <c r="B81" s="10">
        <v>0.76</v>
      </c>
      <c r="C81" s="10">
        <f t="shared" si="2"/>
        <v>2.88</v>
      </c>
      <c r="D81" s="10">
        <v>370</v>
      </c>
      <c r="E81" s="20">
        <f t="shared" si="1"/>
        <v>6.0699999999999994</v>
      </c>
    </row>
    <row r="82" spans="1:5" ht="9.9499999999999993" hidden="1" customHeight="1" x14ac:dyDescent="0.3">
      <c r="A82" s="21" t="s">
        <v>66</v>
      </c>
      <c r="B82" s="10">
        <v>1.77</v>
      </c>
      <c r="C82" s="10">
        <f t="shared" si="2"/>
        <v>6.71</v>
      </c>
      <c r="D82" s="10">
        <v>370</v>
      </c>
      <c r="E82" s="20">
        <f t="shared" si="1"/>
        <v>6.0699999999999994</v>
      </c>
    </row>
    <row r="83" spans="1:5" ht="9.9499999999999993" hidden="1" customHeight="1" x14ac:dyDescent="0.3">
      <c r="A83" s="21" t="s">
        <v>61</v>
      </c>
      <c r="B83" s="10">
        <v>3.09</v>
      </c>
      <c r="C83" s="10">
        <f t="shared" si="2"/>
        <v>11.7</v>
      </c>
      <c r="D83" s="10">
        <v>1155</v>
      </c>
      <c r="E83" s="20">
        <f t="shared" si="1"/>
        <v>18.930000000000003</v>
      </c>
    </row>
    <row r="84" spans="1:5" ht="9.9499999999999993" hidden="1" customHeight="1" x14ac:dyDescent="0.3">
      <c r="A84" s="21" t="s">
        <v>62</v>
      </c>
      <c r="B84" s="10">
        <v>5.28</v>
      </c>
      <c r="C84" s="10">
        <f t="shared" si="2"/>
        <v>19.990000000000002</v>
      </c>
      <c r="D84" s="10">
        <v>1155</v>
      </c>
      <c r="E84" s="20">
        <f t="shared" si="1"/>
        <v>18.930000000000003</v>
      </c>
    </row>
    <row r="85" spans="1:5" ht="9.9499999999999993" hidden="1" customHeight="1" x14ac:dyDescent="0.3">
      <c r="A85" s="21" t="s">
        <v>67</v>
      </c>
      <c r="B85" s="10">
        <v>8.8000000000000007</v>
      </c>
      <c r="C85" s="10">
        <f t="shared" si="2"/>
        <v>33.32</v>
      </c>
      <c r="D85" s="10">
        <f>2*D84</f>
        <v>2310</v>
      </c>
      <c r="E85" s="20">
        <f t="shared" si="1"/>
        <v>37.86</v>
      </c>
    </row>
    <row r="86" spans="1:5" ht="9.9499999999999993" hidden="1" customHeight="1" x14ac:dyDescent="0.3">
      <c r="A86" s="21" t="s">
        <v>68</v>
      </c>
      <c r="B86" s="10">
        <v>8.8000000000000007</v>
      </c>
      <c r="C86" s="10">
        <f t="shared" si="2"/>
        <v>33.32</v>
      </c>
      <c r="D86" s="10">
        <f>D85</f>
        <v>2310</v>
      </c>
      <c r="E86" s="20">
        <f t="shared" si="1"/>
        <v>37.86</v>
      </c>
    </row>
    <row r="87" spans="1:5" ht="9.9499999999999993" customHeight="1" x14ac:dyDescent="0.3">
      <c r="A87" s="7" t="s">
        <v>57</v>
      </c>
      <c r="B87" s="24">
        <f>VLOOKUP(A87,A74:E86,2,FALSE)</f>
        <v>7.9000000000000001E-2</v>
      </c>
      <c r="C87" s="24">
        <f>VLOOKUP(A87,A74:E86,3,FALSE)</f>
        <v>0.3</v>
      </c>
      <c r="D87" s="24">
        <f>VLOOKUP(A87,A74:E86,4,FALSE)</f>
        <v>85</v>
      </c>
      <c r="E87" s="25">
        <f>VLOOKUP(A87,A74:E86,5,FALSE)</f>
        <v>1.4</v>
      </c>
    </row>
    <row r="88" spans="1:5" ht="9.9499999999999993" customHeight="1" x14ac:dyDescent="0.3">
      <c r="A88" s="26" t="s">
        <v>47</v>
      </c>
      <c r="B88" s="33"/>
      <c r="C88" s="33"/>
      <c r="D88" s="33"/>
      <c r="E88" s="28" t="str">
        <f>IF(E87&lt;=0.07,"Sentry III Flat Top",
IF(E87&lt;=0.16,"Sentry III Dome Top",
IF(E87&lt;=0.6,"Sentry II Flat Top",
IF(E87&lt;=1.4,"Sentry II Dome Top",
IF(E87&lt;=2.9,"Sentry I Flat Top",
IF(E87&lt;=6.1,"Sentry I Dome Top",
"Contact H2O Rx"))))))</f>
        <v>Sentry II Dome Top</v>
      </c>
    </row>
    <row r="89" spans="1:5" ht="9.9499999999999993" customHeight="1" x14ac:dyDescent="0.3">
      <c r="A89" s="10"/>
      <c r="B89" s="10"/>
      <c r="C89" s="10"/>
      <c r="D89" s="10"/>
      <c r="E89" s="10"/>
    </row>
    <row r="90" spans="1:5" ht="9.9499999999999993" customHeight="1" x14ac:dyDescent="0.3">
      <c r="A90" s="10"/>
      <c r="B90" s="10"/>
      <c r="C90" s="10"/>
      <c r="D90" s="10"/>
      <c r="E90" s="10"/>
    </row>
    <row r="91" spans="1:5" ht="13.15" x14ac:dyDescent="0.4">
      <c r="A91" s="16" t="s">
        <v>69</v>
      </c>
      <c r="B91" s="17"/>
      <c r="C91" s="17"/>
      <c r="D91" s="18"/>
      <c r="E91" s="10"/>
    </row>
    <row r="92" spans="1:5" ht="9.9499999999999993" customHeight="1" x14ac:dyDescent="0.3">
      <c r="A92" s="19" t="s">
        <v>2</v>
      </c>
      <c r="B92" s="10"/>
      <c r="C92" s="10"/>
      <c r="D92" s="20"/>
      <c r="E92" s="10"/>
    </row>
    <row r="93" spans="1:5" ht="9.9499999999999993" customHeight="1" x14ac:dyDescent="0.3">
      <c r="A93" s="21" t="s">
        <v>6</v>
      </c>
      <c r="B93" s="10" t="s">
        <v>7</v>
      </c>
      <c r="C93" s="10"/>
      <c r="D93" s="4">
        <v>320</v>
      </c>
      <c r="E93" s="10"/>
    </row>
    <row r="94" spans="1:5" ht="9.9499999999999993" customHeight="1" x14ac:dyDescent="0.3">
      <c r="A94" s="21" t="s">
        <v>8</v>
      </c>
      <c r="B94" s="10" t="s">
        <v>9</v>
      </c>
      <c r="C94" s="10"/>
      <c r="D94" s="4">
        <v>200</v>
      </c>
      <c r="E94" s="10"/>
    </row>
    <row r="95" spans="1:5" ht="9.9499999999999993" customHeight="1" x14ac:dyDescent="0.3">
      <c r="A95" s="21" t="s">
        <v>70</v>
      </c>
      <c r="B95" s="10"/>
      <c r="C95" s="6" t="s">
        <v>71</v>
      </c>
      <c r="D95" s="20">
        <f>VLOOKUP(C95,A106:B110,2,FALSE)</f>
        <v>1</v>
      </c>
      <c r="E95" s="10"/>
    </row>
    <row r="96" spans="1:5" ht="9.9499999999999993" customHeight="1" x14ac:dyDescent="0.3">
      <c r="A96" s="21" t="s">
        <v>72</v>
      </c>
      <c r="B96" s="10"/>
      <c r="C96" s="6" t="s">
        <v>73</v>
      </c>
      <c r="D96" s="20">
        <f>VLOOKUP(C96,A113:B114,2,FALSE)</f>
        <v>1</v>
      </c>
      <c r="E96" s="10"/>
    </row>
    <row r="97" spans="1:5" ht="9.9499999999999993" hidden="1" customHeight="1" x14ac:dyDescent="0.3">
      <c r="A97" s="21"/>
      <c r="B97" s="10"/>
      <c r="C97" s="10"/>
      <c r="D97" s="20"/>
      <c r="E97" s="10"/>
    </row>
    <row r="98" spans="1:5" ht="9.9499999999999993" hidden="1" customHeight="1" x14ac:dyDescent="0.3">
      <c r="A98" s="21"/>
      <c r="B98" s="10"/>
      <c r="C98" s="10"/>
      <c r="D98" s="20"/>
      <c r="E98" s="10"/>
    </row>
    <row r="99" spans="1:5" ht="9.9499999999999993" hidden="1" customHeight="1" x14ac:dyDescent="0.3">
      <c r="A99" s="19" t="s">
        <v>74</v>
      </c>
      <c r="B99" s="10"/>
      <c r="C99" s="10"/>
      <c r="D99" s="20"/>
      <c r="E99" s="10"/>
    </row>
    <row r="100" spans="1:5" ht="9.9499999999999993" hidden="1" customHeight="1" x14ac:dyDescent="0.3">
      <c r="A100" s="21" t="s">
        <v>6</v>
      </c>
      <c r="B100" s="10" t="s">
        <v>34</v>
      </c>
      <c r="C100" s="10"/>
      <c r="D100" s="20">
        <f>D93/60</f>
        <v>5.333333333333333</v>
      </c>
      <c r="E100" s="10"/>
    </row>
    <row r="101" spans="1:5" ht="9.9499999999999993" hidden="1" customHeight="1" x14ac:dyDescent="0.3">
      <c r="A101" s="21"/>
      <c r="B101" s="10" t="s">
        <v>75</v>
      </c>
      <c r="C101" s="10"/>
      <c r="D101" s="20">
        <f>D100/D94</f>
        <v>2.6666666666666665E-2</v>
      </c>
      <c r="E101" s="10"/>
    </row>
    <row r="102" spans="1:5" ht="9.9499999999999993" hidden="1" customHeight="1" x14ac:dyDescent="0.3">
      <c r="A102" s="21"/>
      <c r="B102" s="10" t="s">
        <v>76</v>
      </c>
      <c r="C102" s="10"/>
      <c r="D102" s="20">
        <f>D101*61.0237441</f>
        <v>1.6272998426666667</v>
      </c>
      <c r="E102" s="10"/>
    </row>
    <row r="103" spans="1:5" ht="9.9499999999999993" hidden="1" customHeight="1" x14ac:dyDescent="0.3">
      <c r="A103" s="21"/>
      <c r="B103" s="10"/>
      <c r="C103" s="10"/>
      <c r="D103" s="20"/>
      <c r="E103" s="10"/>
    </row>
    <row r="104" spans="1:5" ht="9.9499999999999993" hidden="1" customHeight="1" x14ac:dyDescent="0.3">
      <c r="A104" s="19" t="s">
        <v>77</v>
      </c>
      <c r="B104" s="10"/>
      <c r="C104" s="10"/>
      <c r="D104" s="20"/>
      <c r="E104" s="10"/>
    </row>
    <row r="105" spans="1:5" ht="9.9499999999999993" hidden="1" customHeight="1" x14ac:dyDescent="0.3">
      <c r="A105" s="21" t="s">
        <v>78</v>
      </c>
      <c r="B105" s="10"/>
      <c r="C105" s="10"/>
      <c r="D105" s="20"/>
      <c r="E105" s="10"/>
    </row>
    <row r="106" spans="1:5" ht="9.9499999999999993" hidden="1" customHeight="1" x14ac:dyDescent="0.3">
      <c r="A106" s="21" t="s">
        <v>71</v>
      </c>
      <c r="B106" s="10">
        <v>1</v>
      </c>
      <c r="C106" s="10"/>
      <c r="D106" s="20"/>
      <c r="E106" s="10"/>
    </row>
    <row r="107" spans="1:5" ht="9.9499999999999993" hidden="1" customHeight="1" x14ac:dyDescent="0.3">
      <c r="A107" s="21" t="s">
        <v>79</v>
      </c>
      <c r="B107" s="10">
        <v>2</v>
      </c>
      <c r="C107" s="10"/>
      <c r="D107" s="20"/>
      <c r="E107" s="10"/>
    </row>
    <row r="108" spans="1:5" ht="9.9499999999999993" hidden="1" customHeight="1" x14ac:dyDescent="0.3">
      <c r="A108" s="21" t="s">
        <v>80</v>
      </c>
      <c r="B108" s="10">
        <v>3</v>
      </c>
      <c r="C108" s="10"/>
      <c r="D108" s="20"/>
      <c r="E108" s="10"/>
    </row>
    <row r="109" spans="1:5" ht="9.9499999999999993" hidden="1" customHeight="1" x14ac:dyDescent="0.3">
      <c r="A109" s="21" t="s">
        <v>81</v>
      </c>
      <c r="B109" s="10">
        <v>4</v>
      </c>
      <c r="C109" s="10"/>
      <c r="D109" s="20"/>
      <c r="E109" s="10"/>
    </row>
    <row r="110" spans="1:5" ht="9.9499999999999993" hidden="1" customHeight="1" x14ac:dyDescent="0.3">
      <c r="A110" s="21" t="s">
        <v>82</v>
      </c>
      <c r="B110" s="10">
        <v>5</v>
      </c>
      <c r="C110" s="10"/>
      <c r="D110" s="20"/>
      <c r="E110" s="10"/>
    </row>
    <row r="111" spans="1:5" ht="9.9499999999999993" hidden="1" customHeight="1" x14ac:dyDescent="0.3">
      <c r="A111" s="21"/>
      <c r="B111" s="10"/>
      <c r="C111" s="10"/>
      <c r="D111" s="20"/>
      <c r="E111" s="10"/>
    </row>
    <row r="112" spans="1:5" ht="9.9499999999999993" hidden="1" customHeight="1" x14ac:dyDescent="0.3">
      <c r="A112" s="21" t="s">
        <v>72</v>
      </c>
      <c r="B112" s="10"/>
      <c r="C112" s="10"/>
      <c r="D112" s="20"/>
      <c r="E112" s="10"/>
    </row>
    <row r="113" spans="1:5" ht="9.9499999999999993" hidden="1" customHeight="1" x14ac:dyDescent="0.3">
      <c r="A113" s="21" t="s">
        <v>73</v>
      </c>
      <c r="B113" s="10">
        <v>1</v>
      </c>
      <c r="C113" s="10"/>
      <c r="D113" s="20"/>
      <c r="E113" s="10"/>
    </row>
    <row r="114" spans="1:5" ht="9.9499999999999993" hidden="1" customHeight="1" x14ac:dyDescent="0.3">
      <c r="A114" s="21" t="s">
        <v>83</v>
      </c>
      <c r="B114" s="10">
        <v>2</v>
      </c>
      <c r="C114" s="10"/>
      <c r="D114" s="20"/>
      <c r="E114" s="10"/>
    </row>
    <row r="115" spans="1:5" ht="9.9499999999999993" hidden="1" customHeight="1" x14ac:dyDescent="0.3">
      <c r="A115" s="21"/>
      <c r="B115" s="10"/>
      <c r="C115" s="10"/>
      <c r="D115" s="20"/>
      <c r="E115" s="10"/>
    </row>
    <row r="116" spans="1:5" ht="9.9499999999999993" customHeight="1" x14ac:dyDescent="0.3">
      <c r="A116" s="23" t="s">
        <v>44</v>
      </c>
      <c r="B116" s="24" t="s">
        <v>45</v>
      </c>
      <c r="C116" s="10"/>
      <c r="D116" s="25">
        <f>ROUNDUP((2*D102*D96*D95),1)</f>
        <v>3.3000000000000003</v>
      </c>
      <c r="E116" s="10"/>
    </row>
    <row r="117" spans="1:5" ht="9.9499999999999993" customHeight="1" x14ac:dyDescent="0.3">
      <c r="A117" s="35"/>
      <c r="B117" s="24" t="s">
        <v>46</v>
      </c>
      <c r="C117" s="10"/>
      <c r="D117" s="25">
        <f>ROUNDUP(D116*0.016387064,2)</f>
        <v>6.0000000000000005E-2</v>
      </c>
      <c r="E117" s="10"/>
    </row>
    <row r="118" spans="1:5" ht="9.9499999999999993" customHeight="1" x14ac:dyDescent="0.3">
      <c r="A118" s="26" t="s">
        <v>47</v>
      </c>
      <c r="B118" s="33"/>
      <c r="C118" s="27"/>
      <c r="D118" s="28" t="str">
        <f>IF(D117&lt;=0.07,"Sentry III Flat Top",
IF(D117&lt;=0.16,"Sentry III Dome Top",
IF(D117&lt;=0.6,"Sentry II Flat Top",
IF(D117&lt;=1.4,"Sentry II Dome Top",
IF(D117&lt;=2.9,"Sentry I Flat Top",
IF(D117&lt;=6.1,"Sentry I Dome Top",
"Contact H2O Rx"))))))</f>
        <v>Sentry III Flat Top</v>
      </c>
      <c r="E118" s="10"/>
    </row>
    <row r="119" spans="1:5" ht="9.9499999999999993" customHeight="1" x14ac:dyDescent="0.3">
      <c r="A119" s="10"/>
      <c r="B119" s="10"/>
      <c r="C119" s="10"/>
      <c r="D119" s="10"/>
      <c r="E119" s="10"/>
    </row>
    <row r="120" spans="1:5" ht="9.9499999999999993" customHeight="1" x14ac:dyDescent="0.3">
      <c r="A120" s="10"/>
      <c r="B120" s="10"/>
      <c r="C120" s="10"/>
      <c r="D120" s="10"/>
      <c r="E120" s="10"/>
    </row>
    <row r="121" spans="1:5" ht="13.15" x14ac:dyDescent="0.4">
      <c r="A121" s="16" t="s">
        <v>84</v>
      </c>
      <c r="B121" s="17"/>
      <c r="C121" s="17"/>
      <c r="D121" s="18"/>
      <c r="E121" s="10"/>
    </row>
    <row r="122" spans="1:5" ht="9.9499999999999993" customHeight="1" x14ac:dyDescent="0.4">
      <c r="A122" s="29"/>
      <c r="B122" s="10"/>
      <c r="C122" s="10"/>
      <c r="D122" s="20"/>
      <c r="E122" s="10"/>
    </row>
    <row r="123" spans="1:5" ht="9.9499999999999993" customHeight="1" x14ac:dyDescent="0.4">
      <c r="A123" s="29"/>
      <c r="B123" s="10"/>
      <c r="C123" s="10"/>
      <c r="D123" s="20"/>
      <c r="E123" s="10"/>
    </row>
    <row r="124" spans="1:5" ht="35.65" customHeight="1" x14ac:dyDescent="0.4">
      <c r="A124" s="29"/>
      <c r="B124" s="10"/>
      <c r="C124" s="10"/>
      <c r="D124" s="20"/>
      <c r="E124" s="10"/>
    </row>
    <row r="125" spans="1:5" ht="9.9499999999999993" customHeight="1" x14ac:dyDescent="0.3">
      <c r="A125" s="19" t="s">
        <v>2</v>
      </c>
      <c r="B125" s="10"/>
      <c r="C125" s="10"/>
      <c r="D125" s="20"/>
      <c r="E125" s="10"/>
    </row>
    <row r="126" spans="1:5" ht="9.9499999999999993" customHeight="1" x14ac:dyDescent="0.3">
      <c r="A126" s="21" t="s">
        <v>85</v>
      </c>
      <c r="B126" s="10" t="s">
        <v>86</v>
      </c>
      <c r="C126" s="10"/>
      <c r="D126" s="4">
        <v>32</v>
      </c>
      <c r="E126" s="10"/>
    </row>
    <row r="127" spans="1:5" ht="9.9499999999999993" customHeight="1" x14ac:dyDescent="0.3">
      <c r="A127" s="21" t="s">
        <v>6</v>
      </c>
      <c r="B127" s="10" t="s">
        <v>87</v>
      </c>
      <c r="C127" s="10"/>
      <c r="D127" s="4">
        <v>1.38</v>
      </c>
      <c r="E127" s="10"/>
    </row>
    <row r="128" spans="1:5" ht="9.9499999999999993" hidden="1" customHeight="1" x14ac:dyDescent="0.3">
      <c r="A128" s="21"/>
      <c r="B128" s="10" t="s">
        <v>88</v>
      </c>
      <c r="C128" s="10"/>
      <c r="D128" s="37">
        <f>D127/1000</f>
        <v>1.3799999999999999E-3</v>
      </c>
      <c r="E128" s="10"/>
    </row>
    <row r="129" spans="1:5" ht="9.9499999999999993" customHeight="1" x14ac:dyDescent="0.3">
      <c r="A129" s="21" t="s">
        <v>89</v>
      </c>
      <c r="B129" s="10" t="s">
        <v>90</v>
      </c>
      <c r="C129" s="10"/>
      <c r="D129" s="4">
        <v>20</v>
      </c>
      <c r="E129" s="10"/>
    </row>
    <row r="130" spans="1:5" ht="9.9499999999999993" customHeight="1" x14ac:dyDescent="0.3">
      <c r="A130" s="21" t="s">
        <v>91</v>
      </c>
      <c r="B130" s="10" t="s">
        <v>92</v>
      </c>
      <c r="C130" s="10"/>
      <c r="D130" s="4">
        <v>1000</v>
      </c>
      <c r="E130" s="10"/>
    </row>
    <row r="131" spans="1:5" ht="9.9499999999999993" hidden="1" customHeight="1" x14ac:dyDescent="0.3">
      <c r="A131" s="21"/>
      <c r="B131" s="10" t="s">
        <v>93</v>
      </c>
      <c r="C131" s="10"/>
      <c r="D131" s="37">
        <f>D130*0.1450377377</f>
        <v>145.03773770000001</v>
      </c>
      <c r="E131" s="10"/>
    </row>
    <row r="132" spans="1:5" ht="9.9499999999999993" customHeight="1" x14ac:dyDescent="0.3">
      <c r="A132" s="21" t="s">
        <v>94</v>
      </c>
      <c r="B132" s="10" t="s">
        <v>92</v>
      </c>
      <c r="C132" s="10"/>
      <c r="D132" s="4">
        <v>1200</v>
      </c>
      <c r="E132" s="10"/>
    </row>
    <row r="133" spans="1:5" ht="9.9499999999999993" hidden="1" customHeight="1" x14ac:dyDescent="0.3">
      <c r="A133" s="21"/>
      <c r="B133" s="10"/>
      <c r="C133" s="10"/>
      <c r="D133" s="37">
        <f>D132*0.1450377377</f>
        <v>174.04528524</v>
      </c>
      <c r="E133" s="10"/>
    </row>
    <row r="134" spans="1:5" ht="9.9499999999999993" customHeight="1" x14ac:dyDescent="0.3">
      <c r="A134" s="21" t="s">
        <v>95</v>
      </c>
      <c r="B134" s="10" t="s">
        <v>96</v>
      </c>
      <c r="C134" s="10"/>
      <c r="D134" s="4">
        <v>1</v>
      </c>
      <c r="E134" s="10"/>
    </row>
    <row r="135" spans="1:5" ht="9.9499999999999993" hidden="1" customHeight="1" x14ac:dyDescent="0.3">
      <c r="A135" s="21" t="s">
        <v>97</v>
      </c>
      <c r="B135" s="10" t="s">
        <v>98</v>
      </c>
      <c r="C135" s="10"/>
      <c r="D135" s="20">
        <f>(PI()*(D126/1000)^2)/4</f>
        <v>8.0424771931898698E-4</v>
      </c>
      <c r="E135" s="10"/>
    </row>
    <row r="136" spans="1:5" ht="9.9499999999999993" hidden="1" customHeight="1" x14ac:dyDescent="0.3">
      <c r="A136" s="21" t="s">
        <v>99</v>
      </c>
      <c r="B136" s="10" t="s">
        <v>100</v>
      </c>
      <c r="C136" s="10"/>
      <c r="D136" s="20">
        <f>D128/D135</f>
        <v>1.7158892302094968</v>
      </c>
      <c r="E136" s="10"/>
    </row>
    <row r="137" spans="1:5" ht="9.9499999999999993" hidden="1" customHeight="1" x14ac:dyDescent="0.3">
      <c r="A137" s="21"/>
      <c r="B137" s="10" t="s">
        <v>101</v>
      </c>
      <c r="C137" s="10"/>
      <c r="D137" s="20">
        <f>D136*1000/25.4/12</f>
        <v>5.6295578418946759</v>
      </c>
      <c r="E137" s="10"/>
    </row>
    <row r="138" spans="1:5" ht="9.9499999999999993" hidden="1" customHeight="1" x14ac:dyDescent="0.3">
      <c r="A138" s="21" t="s">
        <v>102</v>
      </c>
      <c r="B138" s="10" t="s">
        <v>103</v>
      </c>
      <c r="C138" s="10"/>
      <c r="D138" s="20">
        <f>D134*1000</f>
        <v>1000</v>
      </c>
      <c r="E138" s="10"/>
    </row>
    <row r="139" spans="1:5" ht="9.9499999999999993" hidden="1" customHeight="1" x14ac:dyDescent="0.3">
      <c r="A139" s="21"/>
      <c r="B139" s="10" t="s">
        <v>104</v>
      </c>
      <c r="C139" s="10"/>
      <c r="D139" s="20">
        <f>D138*0.0624279606</f>
        <v>62.427960599999999</v>
      </c>
      <c r="E139" s="10"/>
    </row>
    <row r="140" spans="1:5" ht="9.9499999999999993" hidden="1" customHeight="1" x14ac:dyDescent="0.3">
      <c r="A140" s="21" t="s">
        <v>105</v>
      </c>
      <c r="B140" s="10" t="s">
        <v>106</v>
      </c>
      <c r="C140" s="10"/>
      <c r="D140" s="20">
        <f>D129*D135*D138</f>
        <v>16.084954386379739</v>
      </c>
      <c r="E140" s="10"/>
    </row>
    <row r="141" spans="1:5" ht="9.9499999999999993" hidden="1" customHeight="1" x14ac:dyDescent="0.3">
      <c r="A141" s="21"/>
      <c r="B141" s="10" t="s">
        <v>107</v>
      </c>
      <c r="C141" s="10"/>
      <c r="D141" s="20">
        <f>D140*2.2046226218</f>
        <v>35.461254310833908</v>
      </c>
      <c r="E141" s="10"/>
    </row>
    <row r="142" spans="1:5" ht="9.9499999999999993" hidden="1" customHeight="1" x14ac:dyDescent="0.3">
      <c r="A142" s="21" t="s">
        <v>108</v>
      </c>
      <c r="B142" s="10" t="s">
        <v>109</v>
      </c>
      <c r="C142" s="10"/>
      <c r="D142" s="20">
        <f>D135*D129</f>
        <v>1.6084954386379739E-2</v>
      </c>
      <c r="E142" s="10"/>
    </row>
    <row r="143" spans="1:5" ht="9.9499999999999993" hidden="1" customHeight="1" x14ac:dyDescent="0.3">
      <c r="A143" s="21"/>
      <c r="B143" s="10" t="s">
        <v>110</v>
      </c>
      <c r="C143" s="10"/>
      <c r="D143" s="20">
        <f>D142*35.3146667215</f>
        <v>0.56803480338553003</v>
      </c>
      <c r="E143" s="10"/>
    </row>
    <row r="144" spans="1:5" ht="9.9499999999999993" customHeight="1" x14ac:dyDescent="0.3">
      <c r="A144" s="21" t="s">
        <v>14</v>
      </c>
      <c r="B144" s="10" t="s">
        <v>15</v>
      </c>
      <c r="C144" s="6" t="s">
        <v>16</v>
      </c>
      <c r="D144" s="20">
        <f>VLOOKUP(C144,A145:B146,2,FALSE)</f>
        <v>1.4</v>
      </c>
      <c r="E144" s="10"/>
    </row>
    <row r="145" spans="1:5" ht="9.9499999999999993" hidden="1" customHeight="1" x14ac:dyDescent="0.3">
      <c r="A145" s="21" t="s">
        <v>22</v>
      </c>
      <c r="B145" s="10">
        <v>1</v>
      </c>
      <c r="C145" s="10"/>
      <c r="D145" s="20"/>
      <c r="E145" s="10"/>
    </row>
    <row r="146" spans="1:5" ht="9.9499999999999993" hidden="1" customHeight="1" x14ac:dyDescent="0.3">
      <c r="A146" s="21" t="s">
        <v>16</v>
      </c>
      <c r="B146" s="10">
        <v>1.4</v>
      </c>
      <c r="C146" s="10"/>
      <c r="D146" s="20"/>
      <c r="E146" s="10"/>
    </row>
    <row r="147" spans="1:5" ht="9.9499999999999993" hidden="1" customHeight="1" x14ac:dyDescent="0.3">
      <c r="A147" s="21" t="s">
        <v>111</v>
      </c>
      <c r="B147" s="10"/>
      <c r="C147" s="10"/>
      <c r="D147" s="20">
        <f>(D144-1)/D144</f>
        <v>0.28571428571428564</v>
      </c>
      <c r="E147" s="10"/>
    </row>
    <row r="148" spans="1:5" ht="9.9499999999999993" customHeight="1" x14ac:dyDescent="0.3">
      <c r="A148" s="23" t="s">
        <v>44</v>
      </c>
      <c r="B148" s="24" t="s">
        <v>45</v>
      </c>
      <c r="C148" s="10"/>
      <c r="D148" s="25">
        <f>IF((D133-D131)&gt;0,ROUND(((D141*D137^2*(D144-1))/(2*32.2*D131))*((12)/((D133/D131)^D147-1)),0),"Contact H2O Rx")</f>
        <v>11</v>
      </c>
      <c r="E148" s="10"/>
    </row>
    <row r="149" spans="1:5" ht="9.9499999999999993" customHeight="1" x14ac:dyDescent="0.3">
      <c r="A149" s="35"/>
      <c r="B149" s="24" t="s">
        <v>46</v>
      </c>
      <c r="C149" s="10"/>
      <c r="D149" s="25">
        <f>ROUNDUP(D148*0.016387064,2)</f>
        <v>0.19</v>
      </c>
      <c r="E149" s="10"/>
    </row>
    <row r="150" spans="1:5" ht="9.9499999999999993" customHeight="1" x14ac:dyDescent="0.3">
      <c r="A150" s="26" t="s">
        <v>47</v>
      </c>
      <c r="B150" s="33"/>
      <c r="C150" s="27"/>
      <c r="D150" s="28" t="str">
        <f>IF(D149&lt;=0.07,"Sentry III Flat Top",
IF(D149&lt;=0.16,"Sentry III Dome Top",
IF(D149&lt;=0.6,"Sentry II Flat Top",
IF(D149&lt;=1.4,"Sentry II Dome Top",
IF(D149&lt;=2.9,"Sentry I Flat Top",
IF(D149&lt;=6.1,"Sentry I Dome Top",
"Contact H2O Rx"))))))</f>
        <v>Sentry II Flat Top</v>
      </c>
      <c r="E150" s="10"/>
    </row>
    <row r="151" spans="1:5" ht="9.9499999999999993" customHeight="1" x14ac:dyDescent="0.3">
      <c r="A151" s="10"/>
      <c r="B151" s="10"/>
      <c r="C151" s="10"/>
      <c r="D151" s="10"/>
      <c r="E151" s="10"/>
    </row>
    <row r="152" spans="1:5" ht="9.9499999999999993" customHeight="1" x14ac:dyDescent="0.3">
      <c r="A152" s="10"/>
      <c r="B152" s="10"/>
      <c r="C152" s="10"/>
      <c r="D152" s="10"/>
      <c r="E152" s="10"/>
    </row>
    <row r="153" spans="1:5" ht="13.15" x14ac:dyDescent="0.4">
      <c r="A153" s="16" t="s">
        <v>112</v>
      </c>
      <c r="B153" s="17"/>
      <c r="C153" s="17"/>
      <c r="D153" s="18"/>
      <c r="E153" s="10"/>
    </row>
    <row r="154" spans="1:5" ht="9.9499999999999993" customHeight="1" x14ac:dyDescent="0.4">
      <c r="A154" s="29"/>
      <c r="B154" s="10"/>
      <c r="C154" s="10"/>
      <c r="D154" s="20"/>
      <c r="E154" s="10"/>
    </row>
    <row r="155" spans="1:5" ht="9.9499999999999993" customHeight="1" x14ac:dyDescent="0.4">
      <c r="A155" s="29"/>
      <c r="B155" s="10"/>
      <c r="C155" s="10"/>
      <c r="D155" s="20"/>
      <c r="E155" s="10"/>
    </row>
    <row r="156" spans="1:5" ht="37.15" customHeight="1" x14ac:dyDescent="0.4">
      <c r="A156" s="29"/>
      <c r="B156" s="10"/>
      <c r="C156" s="10"/>
      <c r="D156" s="20"/>
      <c r="E156" s="10"/>
    </row>
    <row r="157" spans="1:5" ht="9.9499999999999993" customHeight="1" x14ac:dyDescent="0.3">
      <c r="A157" s="19" t="s">
        <v>2</v>
      </c>
      <c r="B157" s="10"/>
      <c r="C157" s="10"/>
      <c r="D157" s="20"/>
      <c r="E157" s="10"/>
    </row>
    <row r="158" spans="1:5" ht="9.9499999999999993" customHeight="1" x14ac:dyDescent="0.3">
      <c r="A158" s="21" t="s">
        <v>6</v>
      </c>
      <c r="B158" s="10" t="s">
        <v>87</v>
      </c>
      <c r="C158" s="10"/>
      <c r="D158" s="4"/>
      <c r="E158" s="10"/>
    </row>
    <row r="159" spans="1:5" ht="9.9499999999999993" hidden="1" customHeight="1" x14ac:dyDescent="0.3">
      <c r="A159" s="21"/>
      <c r="B159" s="10" t="s">
        <v>113</v>
      </c>
      <c r="C159" s="10"/>
      <c r="D159" s="37">
        <f>D158*15.8503231582</f>
        <v>0</v>
      </c>
      <c r="E159" s="10"/>
    </row>
    <row r="160" spans="1:5" ht="9.9499999999999993" customHeight="1" x14ac:dyDescent="0.3">
      <c r="A160" s="21" t="s">
        <v>89</v>
      </c>
      <c r="B160" s="10" t="s">
        <v>90</v>
      </c>
      <c r="C160" s="10"/>
      <c r="D160" s="4"/>
      <c r="E160" s="10"/>
    </row>
    <row r="161" spans="1:5" ht="9.9499999999999993" hidden="1" customHeight="1" x14ac:dyDescent="0.3">
      <c r="A161" s="21"/>
      <c r="B161" s="10" t="s">
        <v>114</v>
      </c>
      <c r="C161" s="10"/>
      <c r="D161" s="37">
        <f>D160*1000/25/4/12</f>
        <v>0</v>
      </c>
      <c r="E161" s="10"/>
    </row>
    <row r="162" spans="1:5" ht="9.9499999999999993" customHeight="1" x14ac:dyDescent="0.3">
      <c r="A162" s="21" t="s">
        <v>91</v>
      </c>
      <c r="B162" s="10" t="s">
        <v>92</v>
      </c>
      <c r="C162" s="10"/>
      <c r="D162" s="4"/>
      <c r="E162" s="10"/>
    </row>
    <row r="163" spans="1:5" ht="9.9499999999999993" hidden="1" customHeight="1" x14ac:dyDescent="0.3">
      <c r="A163" s="21"/>
      <c r="B163" s="10" t="s">
        <v>93</v>
      </c>
      <c r="C163" s="10"/>
      <c r="D163" s="37">
        <f>D162*0.1450377377</f>
        <v>0</v>
      </c>
      <c r="E163" s="10"/>
    </row>
    <row r="164" spans="1:5" ht="9.9499999999999993" customHeight="1" x14ac:dyDescent="0.3">
      <c r="A164" s="21" t="s">
        <v>94</v>
      </c>
      <c r="B164" s="10" t="s">
        <v>92</v>
      </c>
      <c r="C164" s="10"/>
      <c r="D164" s="4"/>
      <c r="E164" s="10"/>
    </row>
    <row r="165" spans="1:5" ht="9.9499999999999993" hidden="1" customHeight="1" x14ac:dyDescent="0.3">
      <c r="A165" s="21"/>
      <c r="B165" s="10" t="s">
        <v>93</v>
      </c>
      <c r="C165" s="10"/>
      <c r="D165" s="37">
        <f>D164*0.1450377377</f>
        <v>0</v>
      </c>
      <c r="E165" s="10"/>
    </row>
    <row r="166" spans="1:5" ht="9.9499999999999993" customHeight="1" x14ac:dyDescent="0.3">
      <c r="A166" s="21" t="s">
        <v>115</v>
      </c>
      <c r="B166" s="10" t="s">
        <v>100</v>
      </c>
      <c r="C166" s="10"/>
      <c r="D166" s="4"/>
      <c r="E166" s="10"/>
    </row>
    <row r="167" spans="1:5" ht="9.9499999999999993" hidden="1" customHeight="1" x14ac:dyDescent="0.3">
      <c r="A167" s="21"/>
      <c r="B167" s="10" t="s">
        <v>101</v>
      </c>
      <c r="C167" s="10"/>
      <c r="D167" s="20">
        <f>D166*1000/25.4/12</f>
        <v>0</v>
      </c>
      <c r="E167" s="10"/>
    </row>
    <row r="168" spans="1:5" ht="9.9499999999999993" customHeight="1" x14ac:dyDescent="0.3">
      <c r="A168" s="21" t="s">
        <v>14</v>
      </c>
      <c r="B168" s="10" t="s">
        <v>116</v>
      </c>
      <c r="C168" s="6"/>
      <c r="D168" s="20" t="e">
        <f>VLOOKUP(C168,A169:B170,2,FALSE)</f>
        <v>#N/A</v>
      </c>
      <c r="E168" s="10"/>
    </row>
    <row r="169" spans="1:5" ht="9.9499999999999993" hidden="1" customHeight="1" x14ac:dyDescent="0.3">
      <c r="A169" s="21" t="s">
        <v>22</v>
      </c>
      <c r="B169" s="10">
        <v>1</v>
      </c>
      <c r="C169" s="10"/>
      <c r="D169" s="20"/>
      <c r="E169" s="10"/>
    </row>
    <row r="170" spans="1:5" ht="9.9499999999999993" hidden="1" customHeight="1" x14ac:dyDescent="0.3">
      <c r="A170" s="21" t="s">
        <v>16</v>
      </c>
      <c r="B170" s="10">
        <v>1.4</v>
      </c>
      <c r="C170" s="10"/>
      <c r="D170" s="20"/>
      <c r="E170" s="10"/>
    </row>
    <row r="171" spans="1:5" ht="9.9499999999999993" hidden="1" customHeight="1" x14ac:dyDescent="0.3">
      <c r="A171" s="21"/>
      <c r="B171" s="10" t="s">
        <v>117</v>
      </c>
      <c r="C171" s="10"/>
      <c r="D171" s="20" t="e">
        <f>(D159*2*D161)/(449*D167)</f>
        <v>#DIV/0!</v>
      </c>
      <c r="E171" s="10"/>
    </row>
    <row r="172" spans="1:5" ht="9.9499999999999993" hidden="1" customHeight="1" x14ac:dyDescent="0.3">
      <c r="A172" s="21"/>
      <c r="B172" s="10" t="s">
        <v>118</v>
      </c>
      <c r="C172" s="10"/>
      <c r="D172" s="20" t="e">
        <f>D165/D163</f>
        <v>#DIV/0!</v>
      </c>
      <c r="E172" s="10"/>
    </row>
    <row r="173" spans="1:5" ht="9.9499999999999993" hidden="1" customHeight="1" x14ac:dyDescent="0.3">
      <c r="A173" s="21"/>
      <c r="B173" s="10" t="s">
        <v>119</v>
      </c>
      <c r="C173" s="10"/>
      <c r="D173" s="20" t="e">
        <f>1/D168</f>
        <v>#N/A</v>
      </c>
      <c r="E173" s="10"/>
    </row>
    <row r="174" spans="1:5" ht="9.9499999999999993" hidden="1" customHeight="1" x14ac:dyDescent="0.3">
      <c r="A174" s="21"/>
      <c r="B174" s="10" t="s">
        <v>120</v>
      </c>
      <c r="C174" s="10"/>
      <c r="D174" s="20" t="e">
        <f>D171*D172^D173</f>
        <v>#DIV/0!</v>
      </c>
      <c r="E174" s="10"/>
    </row>
    <row r="175" spans="1:5" ht="9.9499999999999993" hidden="1" customHeight="1" x14ac:dyDescent="0.3">
      <c r="A175" s="21"/>
      <c r="B175" s="10" t="s">
        <v>121</v>
      </c>
      <c r="C175" s="10"/>
      <c r="D175" s="20" t="e">
        <f>D172^D173-1</f>
        <v>#DIV/0!</v>
      </c>
      <c r="E175" s="10"/>
    </row>
    <row r="176" spans="1:5" ht="9.9499999999999993" hidden="1" customHeight="1" x14ac:dyDescent="0.3">
      <c r="A176" s="21"/>
      <c r="B176" s="10"/>
      <c r="C176" s="10"/>
      <c r="D176" s="20"/>
      <c r="E176" s="10"/>
    </row>
    <row r="177" spans="1:5" ht="9.9499999999999993" customHeight="1" x14ac:dyDescent="0.3">
      <c r="A177" s="23" t="s">
        <v>44</v>
      </c>
      <c r="B177" s="24" t="s">
        <v>45</v>
      </c>
      <c r="C177" s="10"/>
      <c r="D177" s="25" t="e">
        <f>(D174/D175)*12^3</f>
        <v>#DIV/0!</v>
      </c>
      <c r="E177" s="10"/>
    </row>
    <row r="178" spans="1:5" ht="9.9499999999999993" customHeight="1" x14ac:dyDescent="0.3">
      <c r="A178" s="35"/>
      <c r="B178" s="24" t="s">
        <v>46</v>
      </c>
      <c r="C178" s="10"/>
      <c r="D178" s="25" t="e">
        <f>ROUNDUP(D177*0.016387064,2)</f>
        <v>#DIV/0!</v>
      </c>
      <c r="E178" s="10"/>
    </row>
    <row r="179" spans="1:5" ht="9.9499999999999993" customHeight="1" x14ac:dyDescent="0.3">
      <c r="A179" s="26" t="s">
        <v>47</v>
      </c>
      <c r="B179" s="33"/>
      <c r="C179" s="27"/>
      <c r="D179" s="28" t="e">
        <f>IF(D178&lt;=0.07,"Sentry III Flat Top",
IF(D178&lt;=0.16,"Sentry III Dome Top",
IF(D178&lt;=0.6,"Sentry II Flat Top",
IF(D178&lt;=1.4,"Sentry II Dome Top",
IF(D178&lt;=2.9,"Sentry I Flat Top",
IF(D178&lt;=6.1,"Sentry I Dome Top",
"Contact H2O Rx"))))))</f>
        <v>#DIV/0!</v>
      </c>
      <c r="E179" s="10"/>
    </row>
    <row r="180" spans="1:5" ht="9.9499999999999993" customHeight="1" x14ac:dyDescent="0.3">
      <c r="A180" s="10"/>
      <c r="B180" s="10"/>
      <c r="C180" s="10"/>
      <c r="D180" s="10"/>
      <c r="E180" s="10"/>
    </row>
    <row r="181" spans="1:5" ht="9.9499999999999993" customHeight="1" x14ac:dyDescent="0.3">
      <c r="A181" s="10"/>
      <c r="B181" s="10"/>
      <c r="C181" s="10"/>
      <c r="D181" s="10"/>
      <c r="E181" s="10"/>
    </row>
    <row r="182" spans="1:5" ht="9.9499999999999993" customHeight="1" x14ac:dyDescent="0.4">
      <c r="A182" s="16" t="s">
        <v>122</v>
      </c>
      <c r="B182" s="17"/>
      <c r="C182" s="17"/>
      <c r="D182" s="18"/>
      <c r="E182" s="10"/>
    </row>
    <row r="183" spans="1:5" ht="9.9499999999999993" customHeight="1" x14ac:dyDescent="0.3">
      <c r="A183" s="19" t="s">
        <v>2</v>
      </c>
      <c r="B183" s="10"/>
      <c r="C183" s="10"/>
      <c r="D183" s="20"/>
      <c r="E183" s="10"/>
    </row>
    <row r="184" spans="1:5" ht="9.9499999999999993" customHeight="1" x14ac:dyDescent="0.3">
      <c r="A184" s="21" t="s">
        <v>123</v>
      </c>
      <c r="B184" s="10" t="s">
        <v>92</v>
      </c>
      <c r="C184" s="10"/>
      <c r="D184" s="4"/>
      <c r="E184" s="10"/>
    </row>
    <row r="185" spans="1:5" ht="9.9499999999999993" hidden="1" customHeight="1" x14ac:dyDescent="0.3">
      <c r="A185" s="21"/>
      <c r="B185" s="10" t="s">
        <v>124</v>
      </c>
      <c r="C185" s="10"/>
      <c r="D185" s="37">
        <f>D184*0.1450377377</f>
        <v>0</v>
      </c>
      <c r="E185" s="10"/>
    </row>
    <row r="186" spans="1:5" ht="9.9499999999999993" hidden="1" customHeight="1" x14ac:dyDescent="0.3">
      <c r="A186" s="21"/>
      <c r="B186" s="10" t="s">
        <v>125</v>
      </c>
      <c r="C186" s="10"/>
      <c r="D186" s="37">
        <f>D185+14.7</f>
        <v>14.7</v>
      </c>
      <c r="E186" s="10"/>
    </row>
    <row r="187" spans="1:5" ht="9.9499999999999993" customHeight="1" x14ac:dyDescent="0.3">
      <c r="A187" s="21" t="s">
        <v>94</v>
      </c>
      <c r="B187" s="10" t="s">
        <v>92</v>
      </c>
      <c r="C187" s="10"/>
      <c r="D187" s="4"/>
      <c r="E187" s="10"/>
    </row>
    <row r="188" spans="1:5" ht="9.9499999999999993" hidden="1" customHeight="1" x14ac:dyDescent="0.3">
      <c r="A188" s="21"/>
      <c r="B188" s="10" t="s">
        <v>124</v>
      </c>
      <c r="C188" s="10"/>
      <c r="D188" s="37">
        <f>D187*0.1450377377</f>
        <v>0</v>
      </c>
      <c r="E188" s="10"/>
    </row>
    <row r="189" spans="1:5" ht="9.9499999999999993" hidden="1" customHeight="1" x14ac:dyDescent="0.3">
      <c r="A189" s="21"/>
      <c r="B189" s="10" t="s">
        <v>125</v>
      </c>
      <c r="C189" s="10"/>
      <c r="D189" s="37">
        <f>D188+14.7</f>
        <v>14.7</v>
      </c>
      <c r="E189" s="10"/>
    </row>
    <row r="190" spans="1:5" ht="9.9499999999999993" customHeight="1" x14ac:dyDescent="0.3">
      <c r="A190" s="21" t="s">
        <v>126</v>
      </c>
      <c r="B190" s="10" t="s">
        <v>127</v>
      </c>
      <c r="C190" s="10"/>
      <c r="D190" s="4"/>
      <c r="E190" s="10"/>
    </row>
    <row r="191" spans="1:5" ht="9.9499999999999993" hidden="1" customHeight="1" x14ac:dyDescent="0.3">
      <c r="A191" s="21"/>
      <c r="B191" s="10" t="s">
        <v>128</v>
      </c>
      <c r="C191" s="10"/>
      <c r="D191" s="37">
        <f>(D190*9/5)+32</f>
        <v>32</v>
      </c>
      <c r="E191" s="10"/>
    </row>
    <row r="192" spans="1:5" ht="9.9499999999999993" customHeight="1" x14ac:dyDescent="0.3">
      <c r="A192" s="21" t="s">
        <v>129</v>
      </c>
      <c r="B192" s="10" t="s">
        <v>127</v>
      </c>
      <c r="C192" s="10"/>
      <c r="D192" s="4"/>
      <c r="E192" s="10"/>
    </row>
    <row r="193" spans="1:5" ht="9.9499999999999993" hidden="1" customHeight="1" x14ac:dyDescent="0.3">
      <c r="A193" s="21"/>
      <c r="B193" s="10" t="s">
        <v>128</v>
      </c>
      <c r="C193" s="10"/>
      <c r="D193" s="37">
        <f>(D192*9/5)+32</f>
        <v>32</v>
      </c>
      <c r="E193" s="10"/>
    </row>
    <row r="194" spans="1:5" ht="9.9499999999999993" customHeight="1" x14ac:dyDescent="0.3">
      <c r="A194" s="21" t="s">
        <v>130</v>
      </c>
      <c r="B194" s="36" t="s">
        <v>131</v>
      </c>
      <c r="C194" s="10"/>
      <c r="D194" s="4"/>
      <c r="E194" s="10"/>
    </row>
    <row r="195" spans="1:5" ht="9.9499999999999993" hidden="1" customHeight="1" x14ac:dyDescent="0.3">
      <c r="A195" s="21"/>
      <c r="B195" s="36" t="s">
        <v>132</v>
      </c>
      <c r="C195" s="10"/>
      <c r="D195" s="37">
        <f>D194/1.8</f>
        <v>0</v>
      </c>
      <c r="E195" s="10"/>
    </row>
    <row r="196" spans="1:5" ht="9.9499999999999993" customHeight="1" x14ac:dyDescent="0.3">
      <c r="A196" s="21" t="s">
        <v>133</v>
      </c>
      <c r="B196" s="36" t="s">
        <v>131</v>
      </c>
      <c r="C196" s="10"/>
      <c r="D196" s="4"/>
      <c r="E196" s="10"/>
    </row>
    <row r="197" spans="1:5" ht="9.9499999999999993" hidden="1" customHeight="1" x14ac:dyDescent="0.3">
      <c r="A197" s="21"/>
      <c r="B197" s="36" t="s">
        <v>132</v>
      </c>
      <c r="C197" s="10"/>
      <c r="D197" s="20">
        <f>D196/1.8</f>
        <v>0</v>
      </c>
      <c r="E197" s="10"/>
    </row>
    <row r="198" spans="1:5" ht="9.9499999999999993" customHeight="1" x14ac:dyDescent="0.3">
      <c r="A198" s="21" t="s">
        <v>14</v>
      </c>
      <c r="B198" s="10" t="s">
        <v>116</v>
      </c>
      <c r="C198" s="6"/>
      <c r="D198" s="20" t="e">
        <f>VLOOKUP(C198,A199:B200,2,FALSE)</f>
        <v>#N/A</v>
      </c>
      <c r="E198" s="10"/>
    </row>
    <row r="199" spans="1:5" ht="9.9499999999999993" hidden="1" customHeight="1" x14ac:dyDescent="0.3">
      <c r="A199" s="21" t="s">
        <v>22</v>
      </c>
      <c r="B199" s="10">
        <v>1</v>
      </c>
      <c r="C199" s="10"/>
      <c r="D199" s="20"/>
      <c r="E199" s="10"/>
    </row>
    <row r="200" spans="1:5" ht="9.9499999999999993" hidden="1" customHeight="1" x14ac:dyDescent="0.3">
      <c r="A200" s="21" t="s">
        <v>16</v>
      </c>
      <c r="B200" s="10">
        <v>1.4</v>
      </c>
      <c r="C200" s="10"/>
      <c r="D200" s="20"/>
      <c r="E200" s="10"/>
    </row>
    <row r="201" spans="1:5" ht="9.9499999999999993" customHeight="1" x14ac:dyDescent="0.3">
      <c r="A201" s="21" t="s">
        <v>134</v>
      </c>
      <c r="B201" s="10" t="s">
        <v>90</v>
      </c>
      <c r="C201" s="10"/>
      <c r="D201" s="4"/>
      <c r="E201" s="10"/>
    </row>
    <row r="202" spans="1:5" ht="9.9499999999999993" hidden="1" customHeight="1" x14ac:dyDescent="0.3">
      <c r="A202" s="21"/>
      <c r="B202" s="10" t="s">
        <v>114</v>
      </c>
      <c r="C202" s="10"/>
      <c r="D202" s="20">
        <f>D201*1000/25.4/12</f>
        <v>0</v>
      </c>
      <c r="E202" s="10"/>
    </row>
    <row r="203" spans="1:5" ht="9.9499999999999993" hidden="1" customHeight="1" x14ac:dyDescent="0.3">
      <c r="A203" s="21" t="s">
        <v>135</v>
      </c>
      <c r="B203" s="10" t="s">
        <v>136</v>
      </c>
      <c r="C203" s="10"/>
      <c r="D203" s="22"/>
      <c r="E203" s="10"/>
    </row>
    <row r="204" spans="1:5" ht="9.9499999999999993" hidden="1" customHeight="1" x14ac:dyDescent="0.3">
      <c r="A204" s="21"/>
      <c r="B204" s="10" t="s">
        <v>137</v>
      </c>
      <c r="C204" s="10"/>
      <c r="D204" s="20">
        <f>D203/25.4</f>
        <v>0</v>
      </c>
      <c r="E204" s="10"/>
    </row>
    <row r="205" spans="1:5" ht="9.9499999999999993" hidden="1" customHeight="1" x14ac:dyDescent="0.3">
      <c r="A205" s="21"/>
      <c r="B205" s="10" t="s">
        <v>138</v>
      </c>
      <c r="C205" s="10"/>
      <c r="D205" s="20">
        <f>D204/12</f>
        <v>0</v>
      </c>
      <c r="E205" s="10"/>
    </row>
    <row r="206" spans="1:5" ht="9.9499999999999993" hidden="1" customHeight="1" x14ac:dyDescent="0.3">
      <c r="A206" s="21" t="s">
        <v>139</v>
      </c>
      <c r="B206" s="10" t="s">
        <v>45</v>
      </c>
      <c r="C206" s="10"/>
      <c r="D206" s="20">
        <f>PI()*(D205^2/4)*D202*(D193-D191)*(D195-(3*D197))*1728</f>
        <v>0</v>
      </c>
      <c r="E206" s="10"/>
    </row>
    <row r="207" spans="1:5" ht="9.9499999999999993" customHeight="1" x14ac:dyDescent="0.3">
      <c r="A207" s="23" t="s">
        <v>44</v>
      </c>
      <c r="B207" s="24" t="s">
        <v>45</v>
      </c>
      <c r="C207" s="10"/>
      <c r="D207" s="25" t="e">
        <f>IF(D198=0,"Contact H2O Rx",IF((D188-D185)=0,"Contact H2O Rx",(D206/(1-(D186/D189)^(1/D198)))))</f>
        <v>#N/A</v>
      </c>
      <c r="E207" s="10"/>
    </row>
    <row r="208" spans="1:5" ht="9.9499999999999993" customHeight="1" x14ac:dyDescent="0.3">
      <c r="A208" s="35"/>
      <c r="B208" s="24" t="s">
        <v>46</v>
      </c>
      <c r="C208" s="10"/>
      <c r="D208" s="25" t="e">
        <f>ROUNDUP(D207*0.016387064,2)</f>
        <v>#N/A</v>
      </c>
      <c r="E208" s="10"/>
    </row>
    <row r="209" spans="1:5" ht="9.9499999999999993" customHeight="1" x14ac:dyDescent="0.3">
      <c r="A209" s="26" t="s">
        <v>47</v>
      </c>
      <c r="B209" s="33"/>
      <c r="C209" s="27"/>
      <c r="D209" s="28" t="e">
        <f>IF(D208&lt;=0.07,"Sentry III Flat Top",
IF(D208&lt;=0.16,"Sentry III Dome Top",
IF(D208&lt;=0.6,"Sentry II Flat Top",
IF(D208&lt;=1.4,"Sentry II Dome Top",
IF(D208&lt;=2.9,"Sentry I Flat Top",
IF(D208&lt;=6.1,"Sentry I Dome Top",
"Contact H2O Rx"))))))</f>
        <v>#N/A</v>
      </c>
      <c r="E209" s="10"/>
    </row>
    <row r="210" spans="1:5" ht="9.9499999999999993" customHeight="1" x14ac:dyDescent="0.3">
      <c r="A210" s="10"/>
      <c r="B210" s="10"/>
      <c r="C210" s="10"/>
      <c r="D210" s="10"/>
      <c r="E210" s="10"/>
    </row>
    <row r="211" spans="1:5" ht="9.9499999999999993" customHeight="1" x14ac:dyDescent="0.3">
      <c r="A211" s="10"/>
      <c r="B211" s="10"/>
      <c r="C211" s="10"/>
      <c r="D211" s="10"/>
      <c r="E211" s="10"/>
    </row>
    <row r="212" spans="1:5" ht="9.9499999999999993" customHeight="1" x14ac:dyDescent="0.3">
      <c r="A212" s="10" t="s">
        <v>140</v>
      </c>
      <c r="B212" s="10"/>
      <c r="C212" s="10"/>
      <c r="D212" s="10"/>
      <c r="E212" s="10"/>
    </row>
    <row r="213" spans="1:5" ht="9.9499999999999993" customHeight="1" x14ac:dyDescent="0.35">
      <c r="A213" s="10" t="s">
        <v>141</v>
      </c>
      <c r="B213" s="3" t="s">
        <v>142</v>
      </c>
      <c r="C213" s="10"/>
      <c r="D213" s="10"/>
      <c r="E213" s="10"/>
    </row>
    <row r="214" spans="1:5" ht="9.9499999999999993" customHeight="1" x14ac:dyDescent="0.35">
      <c r="A214" s="10" t="s">
        <v>143</v>
      </c>
      <c r="B214" s="3" t="s">
        <v>144</v>
      </c>
      <c r="C214" s="10"/>
      <c r="D214" s="10"/>
      <c r="E214" s="10"/>
    </row>
    <row r="215" spans="1:5" ht="9.9499999999999993" customHeight="1" x14ac:dyDescent="0.35">
      <c r="A215" s="10" t="s">
        <v>145</v>
      </c>
      <c r="B215" s="3" t="s">
        <v>146</v>
      </c>
      <c r="C215" s="10"/>
      <c r="D215" s="10"/>
      <c r="E215" s="10"/>
    </row>
  </sheetData>
  <sheetProtection algorithmName="SHA-512" hashValue="RJyzQ5y0E8xd8oHV7pN9OAtK+xZXu9U3HGU67SLXB8zdU6IYrM3Bktl/qvbmkpte43Yb3pXXoCW4gxP93XY2Rw==" saltValue="3JFLkprpaYBHr1prqppqrQ==" spinCount="100000" sheet="1" objects="1" scenarios="1"/>
  <phoneticPr fontId="0" type="noConversion"/>
  <dataValidations count="9">
    <dataValidation type="list" allowBlank="1" showInputMessage="1" showErrorMessage="1" sqref="C198" xr:uid="{BBBBCF2D-7844-4734-910A-C848F7CE56E4}">
      <formula1>$A$199:$A$200</formula1>
    </dataValidation>
    <dataValidation type="list" allowBlank="1" showInputMessage="1" showErrorMessage="1" sqref="C168" xr:uid="{68FEF8BC-D0D1-4BC4-BC0B-D2E73BC14D5B}">
      <formula1>$A$169:$A$170</formula1>
    </dataValidation>
    <dataValidation type="list" allowBlank="1" showInputMessage="1" showErrorMessage="1" sqref="C96" xr:uid="{8D80CFF1-0117-4FF1-9B8A-5DCD8FABEF11}">
      <formula1>$A$113:$A$114</formula1>
    </dataValidation>
    <dataValidation type="list" allowBlank="1" showInputMessage="1" showErrorMessage="1" sqref="C95" xr:uid="{54B64F56-0C47-4225-9409-03AE72C02A60}">
      <formula1>$A$106:$A$110</formula1>
    </dataValidation>
    <dataValidation type="list" allowBlank="1" showInputMessage="1" showErrorMessage="1" sqref="C11" xr:uid="{8A07FAF8-150B-4075-9008-D17BBFF75F65}">
      <formula1>$A$20:$A$29</formula1>
    </dataValidation>
    <dataValidation type="list" allowBlank="1" showInputMessage="1" showErrorMessage="1" sqref="C10" xr:uid="{866FCE4E-4949-4E1E-AF65-EA2CCD9C1D85}">
      <formula1>$A$16:$A$17</formula1>
    </dataValidation>
    <dataValidation type="list" allowBlank="1" showInputMessage="1" showErrorMessage="1" sqref="A64" xr:uid="{A6014F68-51F3-4FD7-B484-5CDA4D5B410A}">
      <formula1>$A$54:$A$63</formula1>
    </dataValidation>
    <dataValidation type="list" allowBlank="1" showInputMessage="1" showErrorMessage="1" sqref="A87" xr:uid="{D8976EDF-24F2-43FE-8314-A14F656A93CF}">
      <formula1>$A$74:$A$86</formula1>
    </dataValidation>
    <dataValidation type="list" allowBlank="1" showInputMessage="1" showErrorMessage="1" sqref="C144" xr:uid="{6693531D-F627-4A3D-A592-ED05F33E650D}">
      <formula1>$A$145:$A$146</formula1>
    </dataValidation>
  </dataValidations>
  <hyperlinks>
    <hyperlink ref="B214" r:id="rId1" xr:uid="{27DD5F2C-851D-4A5B-8676-D893307F2B01}"/>
    <hyperlink ref="B215" r:id="rId2" xr:uid="{9A2D473E-E66D-41D3-936B-FD96B9530AF5}"/>
    <hyperlink ref="B213" r:id="rId3" xr:uid="{7C6B0B73-5B32-4FF7-AF32-85423917F5B1}"/>
    <hyperlink ref="C5" location="'Grundfos Pumps'!A1" display="Yes?  Click Here." xr:uid="{BD20A134-60A8-4F3A-9A60-21D9B2DEF8C6}"/>
    <hyperlink ref="A71" location="Peristaltic!A1" display="Pump Model Lookup Chart" xr:uid="{776CC52F-1129-4B51-83D7-2B6D85743B03}"/>
  </hyperlinks>
  <printOptions gridLines="1"/>
  <pageMargins left="0.74803149606299213" right="0.74803149606299213" top="1.6535433070866143" bottom="1.1023622047244095" header="0.51181102362204722" footer="0.51181102362204722"/>
  <pageSetup paperSize="9" orientation="portrait" horizontalDpi="4294967293" verticalDpi="0" r:id="rId4"/>
  <headerFooter>
    <oddHeader>&amp;L&amp;G&amp;R&amp;28Design
Sheet</oddHeader>
    <oddFooter>&amp;LDesigner:
Sign:
Date:&amp;R&amp;F
Date Printed:  &amp;D</oddFooter>
  </headerFooter>
  <drawing r:id="rId5"/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B552C-30A8-462D-A49E-C28EC176B675}">
  <dimension ref="A1:G63"/>
  <sheetViews>
    <sheetView workbookViewId="0">
      <selection activeCell="B6" sqref="B6"/>
    </sheetView>
  </sheetViews>
  <sheetFormatPr defaultColWidth="10.59765625" defaultRowHeight="9.9499999999999993" customHeight="1" x14ac:dyDescent="0.3"/>
  <cols>
    <col min="1" max="1" width="7.33203125" style="2" customWidth="1"/>
    <col min="2" max="2" width="10.59765625" style="2"/>
    <col min="3" max="3" width="7.19921875" style="2" customWidth="1"/>
    <col min="4" max="4" width="13.53125" style="2" customWidth="1"/>
    <col min="5" max="5" width="9.53125" style="2" customWidth="1"/>
    <col min="6" max="6" width="16.796875" style="2" customWidth="1"/>
    <col min="7" max="7" width="22.19921875" style="2" customWidth="1"/>
    <col min="8" max="16384" width="10.59765625" style="2"/>
  </cols>
  <sheetData>
    <row r="1" spans="1:7" ht="9.9499999999999993" customHeight="1" x14ac:dyDescent="0.3">
      <c r="A1" s="10"/>
      <c r="B1" s="10"/>
      <c r="C1" s="10"/>
      <c r="D1" s="10"/>
      <c r="E1" s="10"/>
      <c r="F1" s="10"/>
      <c r="G1" s="10"/>
    </row>
    <row r="2" spans="1:7" ht="9.9499999999999993" customHeight="1" x14ac:dyDescent="0.3">
      <c r="A2" s="10"/>
      <c r="B2" s="10"/>
      <c r="C2" s="10"/>
      <c r="D2" s="10"/>
      <c r="E2" s="10"/>
      <c r="F2" s="10"/>
      <c r="G2" s="10"/>
    </row>
    <row r="3" spans="1:7" ht="9.9499999999999993" customHeight="1" x14ac:dyDescent="0.3">
      <c r="A3" s="10"/>
      <c r="B3" s="10"/>
      <c r="C3" s="10"/>
      <c r="D3" s="10"/>
      <c r="E3" s="10"/>
      <c r="F3" s="10"/>
      <c r="G3" s="10"/>
    </row>
    <row r="4" spans="1:7" ht="9.9499999999999993" customHeight="1" x14ac:dyDescent="0.3">
      <c r="A4" s="10"/>
      <c r="B4" s="10"/>
      <c r="C4" s="10"/>
      <c r="D4" s="10"/>
      <c r="E4" s="10"/>
      <c r="F4" s="10"/>
      <c r="G4" s="10"/>
    </row>
    <row r="5" spans="1:7" ht="9.9499999999999993" customHeight="1" x14ac:dyDescent="0.3">
      <c r="A5" s="10"/>
      <c r="B5" s="10"/>
      <c r="C5" s="10"/>
      <c r="D5" s="10"/>
      <c r="E5" s="10"/>
      <c r="F5" s="10"/>
      <c r="G5" s="10"/>
    </row>
    <row r="6" spans="1:7" s="8" customFormat="1" ht="25.5" x14ac:dyDescent="0.35">
      <c r="A6" s="11" t="s">
        <v>147</v>
      </c>
      <c r="B6" s="11" t="s">
        <v>148</v>
      </c>
      <c r="C6" s="11" t="s">
        <v>149</v>
      </c>
      <c r="D6" s="11" t="s">
        <v>47</v>
      </c>
      <c r="E6" s="11" t="s">
        <v>150</v>
      </c>
      <c r="F6" s="12" t="s">
        <v>151</v>
      </c>
      <c r="G6" s="11" t="s">
        <v>152</v>
      </c>
    </row>
    <row r="7" spans="1:7" s="9" customFormat="1" ht="12.75" x14ac:dyDescent="0.35">
      <c r="A7" s="13" t="s">
        <v>153</v>
      </c>
      <c r="B7" s="13">
        <v>6</v>
      </c>
      <c r="C7" s="13">
        <v>10</v>
      </c>
      <c r="D7" s="13" t="str">
        <f>CONCATENATE(A7," ",B7,"-",C7)</f>
        <v>DDE 6-10</v>
      </c>
      <c r="E7" s="13">
        <v>7.0000000000000007E-2</v>
      </c>
      <c r="F7" s="13" t="str">
        <f>IF(E7&lt;=0.07,"Sentry III Flat Top",
IF(E7&lt;=0.16,"Sentry III Dome Top",
IF(E7&lt;=0.6,"Sentry II Flat Top",
IF(E7&lt;=1.4,"Sentry II Dome Top",
IF(E7&lt;=2.9,"Sentry I Flat Top",
IF(E7&lt;=6.1,"Sentry I Dome Top",
"Contact H2O Rx"))))))</f>
        <v>Sentry III Flat Top</v>
      </c>
      <c r="G7" s="13"/>
    </row>
    <row r="8" spans="1:7" s="9" customFormat="1" ht="38.25" x14ac:dyDescent="0.35">
      <c r="A8" s="13" t="s">
        <v>154</v>
      </c>
      <c r="B8" s="13">
        <v>7.5</v>
      </c>
      <c r="C8" s="13"/>
      <c r="D8" s="13" t="str">
        <f>CONCATENATE(A8," ",B8,"-",C8)</f>
        <v>DDA 7.5-</v>
      </c>
      <c r="E8" s="13">
        <v>7.0000000000000007E-2</v>
      </c>
      <c r="F8" s="13" t="str">
        <f t="shared" ref="F8:F63" si="0">IF(E8&lt;=0.07,"Sentry III Flat Top",
IF(E8&lt;=0.16,"Sentry III Dome Top",
IF(E8&lt;=0.6,"Sentry II Flat Top",
IF(E8&lt;=1.4,"Sentry II Dome Top",
IF(E8&lt;=2.9,"Sentry I Flat Top",
IF(E8&lt;=6.1,"Sentry I Dome Top",
"Contact H2O Rx"))))))</f>
        <v>Sentry III Flat Top</v>
      </c>
      <c r="G8" s="13" t="s">
        <v>155</v>
      </c>
    </row>
    <row r="9" spans="1:7" s="9" customFormat="1" ht="38.25" x14ac:dyDescent="0.35">
      <c r="A9" s="13" t="s">
        <v>154</v>
      </c>
      <c r="B9" s="13">
        <v>60</v>
      </c>
      <c r="C9" s="13">
        <v>10</v>
      </c>
      <c r="D9" s="13" t="str">
        <f>CONCATENATE(A9," ",B9,"-",C9)</f>
        <v>DDA 60-10</v>
      </c>
      <c r="E9" s="13">
        <v>0.15</v>
      </c>
      <c r="F9" s="13" t="str">
        <f>IF(E9&lt;=0.07,"Sentry III Flat Top",
IF(E9&lt;=0.16,"Sentry III Dome Top",
IF(E9&lt;=0.6,"Sentry II Flat Top",
IF(E9&lt;=1.4,"Sentry II Dome Top",
IF(E9&lt;=2.9,"Sentry I Flat Top",
IF(E9&lt;=6.1,"Sentry I Dome Top",
"Contact H2O Rx"))))))</f>
        <v>Sentry III Dome Top</v>
      </c>
      <c r="G9" s="13" t="s">
        <v>155</v>
      </c>
    </row>
    <row r="10" spans="1:7" s="9" customFormat="1" ht="38.25" x14ac:dyDescent="0.35">
      <c r="A10" s="13" t="s">
        <v>154</v>
      </c>
      <c r="B10" s="13">
        <v>200</v>
      </c>
      <c r="C10" s="13"/>
      <c r="D10" s="13" t="str">
        <f>CONCATENATE(A10," ",B10,"-",C10)</f>
        <v>DDA 200-</v>
      </c>
      <c r="E10" s="13">
        <v>0.65</v>
      </c>
      <c r="F10" s="13" t="str">
        <f>IF(E10&lt;=0.07,"Sentry III Flat Top",
IF(E10&lt;=0.16,"Sentry III Dome Top",
IF(E10&lt;=0.6,"Sentry II Flat Top",
IF(E10&lt;=1.4,"Sentry II Dome Top",
IF(E10&lt;=2.9,"Sentry I Flat Top",
IF(E10&lt;=6.1,"Sentry I Dome Top",
"Contact H2O Rx"))))))</f>
        <v>Sentry II Dome Top</v>
      </c>
      <c r="G10" s="13" t="s">
        <v>155</v>
      </c>
    </row>
    <row r="11" spans="1:7" s="9" customFormat="1" ht="38.25" x14ac:dyDescent="0.35">
      <c r="A11" s="13" t="s">
        <v>153</v>
      </c>
      <c r="B11" s="13" t="s">
        <v>156</v>
      </c>
      <c r="C11" s="13"/>
      <c r="D11" s="13" t="str">
        <f>CONCATENATE(A11," ",B11,"-",C11)</f>
        <v>DDE 6&gt;&lt;30-</v>
      </c>
      <c r="E11" s="13">
        <v>0.15</v>
      </c>
      <c r="F11" s="13" t="str">
        <f t="shared" si="0"/>
        <v>Sentry III Dome Top</v>
      </c>
      <c r="G11" s="13" t="s">
        <v>155</v>
      </c>
    </row>
    <row r="12" spans="1:7" s="9" customFormat="1" ht="25.5" x14ac:dyDescent="0.35">
      <c r="A12" s="13" t="s">
        <v>157</v>
      </c>
      <c r="B12" s="13">
        <v>221</v>
      </c>
      <c r="C12" s="13">
        <v>4</v>
      </c>
      <c r="D12" s="13" t="str">
        <f t="shared" ref="D12:D63" si="1">CONCATENATE(A12," ",B12,"-",C12)</f>
        <v>DMX 221-4</v>
      </c>
      <c r="E12" s="13">
        <v>0.15</v>
      </c>
      <c r="F12" s="13" t="str">
        <f t="shared" si="0"/>
        <v>Sentry III Dome Top</v>
      </c>
      <c r="G12" s="13"/>
    </row>
    <row r="13" spans="1:7" s="9" customFormat="1" ht="25.5" x14ac:dyDescent="0.35">
      <c r="A13" s="13" t="s">
        <v>157</v>
      </c>
      <c r="B13" s="13">
        <v>221</v>
      </c>
      <c r="C13" s="13">
        <v>8</v>
      </c>
      <c r="D13" s="13" t="str">
        <f t="shared" si="1"/>
        <v>DMX 221-8</v>
      </c>
      <c r="E13" s="13">
        <v>0.15</v>
      </c>
      <c r="F13" s="13" t="str">
        <f t="shared" si="0"/>
        <v>Sentry III Dome Top</v>
      </c>
      <c r="G13" s="13"/>
    </row>
    <row r="14" spans="1:7" s="9" customFormat="1" ht="25.5" x14ac:dyDescent="0.35">
      <c r="A14" s="13" t="s">
        <v>157</v>
      </c>
      <c r="B14" s="13">
        <v>221</v>
      </c>
      <c r="C14" s="13">
        <v>9</v>
      </c>
      <c r="D14" s="13" t="str">
        <f t="shared" si="1"/>
        <v>DMX 221-9</v>
      </c>
      <c r="E14" s="13">
        <v>0.15</v>
      </c>
      <c r="F14" s="13" t="str">
        <f t="shared" si="0"/>
        <v>Sentry III Dome Top</v>
      </c>
      <c r="G14" s="13"/>
    </row>
    <row r="15" spans="1:7" s="9" customFormat="1" ht="25.5" x14ac:dyDescent="0.35">
      <c r="A15" s="13" t="s">
        <v>157</v>
      </c>
      <c r="B15" s="13">
        <v>221</v>
      </c>
      <c r="C15" s="13">
        <v>12</v>
      </c>
      <c r="D15" s="13" t="str">
        <f t="shared" si="1"/>
        <v>DMX 221-12</v>
      </c>
      <c r="E15" s="13">
        <v>0.15</v>
      </c>
      <c r="F15" s="13" t="str">
        <f t="shared" si="0"/>
        <v>Sentry III Dome Top</v>
      </c>
      <c r="G15" s="13"/>
    </row>
    <row r="16" spans="1:7" s="9" customFormat="1" ht="25.5" x14ac:dyDescent="0.35">
      <c r="A16" s="13" t="s">
        <v>157</v>
      </c>
      <c r="B16" s="13">
        <v>221</v>
      </c>
      <c r="C16" s="13">
        <v>14</v>
      </c>
      <c r="D16" s="13" t="str">
        <f t="shared" si="1"/>
        <v>DMX 221-14</v>
      </c>
      <c r="E16" s="13">
        <v>0.15</v>
      </c>
      <c r="F16" s="13" t="str">
        <f t="shared" si="0"/>
        <v>Sentry III Dome Top</v>
      </c>
      <c r="G16" s="13"/>
    </row>
    <row r="17" spans="1:7" s="9" customFormat="1" ht="25.5" x14ac:dyDescent="0.35">
      <c r="A17" s="13" t="s">
        <v>157</v>
      </c>
      <c r="B17" s="13">
        <v>221</v>
      </c>
      <c r="C17" s="13">
        <v>16</v>
      </c>
      <c r="D17" s="13" t="str">
        <f t="shared" si="1"/>
        <v>DMX 221-16</v>
      </c>
      <c r="E17" s="13">
        <v>0.15</v>
      </c>
      <c r="F17" s="13" t="str">
        <f t="shared" si="0"/>
        <v>Sentry III Dome Top</v>
      </c>
      <c r="G17" s="13"/>
    </row>
    <row r="18" spans="1:7" s="9" customFormat="1" ht="25.5" x14ac:dyDescent="0.35">
      <c r="A18" s="13" t="s">
        <v>157</v>
      </c>
      <c r="B18" s="13">
        <v>221</v>
      </c>
      <c r="C18" s="13">
        <v>18</v>
      </c>
      <c r="D18" s="13" t="str">
        <f t="shared" si="1"/>
        <v>DMX 221-18</v>
      </c>
      <c r="E18" s="13">
        <v>0.15</v>
      </c>
      <c r="F18" s="13" t="str">
        <f t="shared" si="0"/>
        <v>Sentry III Dome Top</v>
      </c>
      <c r="G18" s="13"/>
    </row>
    <row r="19" spans="1:7" s="9" customFormat="1" ht="25.5" x14ac:dyDescent="0.35">
      <c r="A19" s="13" t="s">
        <v>157</v>
      </c>
      <c r="B19" s="13">
        <v>221</v>
      </c>
      <c r="C19" s="13">
        <v>26</v>
      </c>
      <c r="D19" s="13" t="str">
        <f t="shared" si="1"/>
        <v>DMX 221-26</v>
      </c>
      <c r="E19" s="13">
        <v>0.15</v>
      </c>
      <c r="F19" s="13" t="str">
        <f t="shared" si="0"/>
        <v>Sentry III Dome Top</v>
      </c>
      <c r="G19" s="13"/>
    </row>
    <row r="20" spans="1:7" s="9" customFormat="1" ht="25.5" x14ac:dyDescent="0.35">
      <c r="A20" s="13" t="s">
        <v>157</v>
      </c>
      <c r="B20" s="13">
        <v>221</v>
      </c>
      <c r="C20" s="13">
        <v>27</v>
      </c>
      <c r="D20" s="13" t="str">
        <f t="shared" si="1"/>
        <v>DMX 221-27</v>
      </c>
      <c r="E20" s="13">
        <v>0.15</v>
      </c>
      <c r="F20" s="13" t="str">
        <f t="shared" si="0"/>
        <v>Sentry III Dome Top</v>
      </c>
      <c r="G20" s="13"/>
    </row>
    <row r="21" spans="1:7" s="9" customFormat="1" ht="25.5" x14ac:dyDescent="0.35">
      <c r="A21" s="13" t="s">
        <v>157</v>
      </c>
      <c r="B21" s="13">
        <v>221</v>
      </c>
      <c r="C21" s="13">
        <v>35</v>
      </c>
      <c r="D21" s="13" t="str">
        <f t="shared" si="1"/>
        <v>DMX 221-35</v>
      </c>
      <c r="E21" s="13">
        <v>0.15</v>
      </c>
      <c r="F21" s="13" t="str">
        <f t="shared" si="0"/>
        <v>Sentry III Dome Top</v>
      </c>
      <c r="G21" s="13"/>
    </row>
    <row r="22" spans="1:7" s="9" customFormat="1" ht="25.5" x14ac:dyDescent="0.35">
      <c r="A22" s="13" t="s">
        <v>157</v>
      </c>
      <c r="B22" s="13">
        <v>221</v>
      </c>
      <c r="C22" s="13">
        <v>50</v>
      </c>
      <c r="D22" s="13" t="str">
        <f t="shared" si="1"/>
        <v>DMX 221-50</v>
      </c>
      <c r="E22" s="13">
        <v>0.15</v>
      </c>
      <c r="F22" s="13" t="str">
        <f t="shared" si="0"/>
        <v>Sentry III Dome Top</v>
      </c>
      <c r="G22" s="13"/>
    </row>
    <row r="23" spans="1:7" s="9" customFormat="1" ht="25.5" x14ac:dyDescent="0.35">
      <c r="A23" s="13" t="s">
        <v>158</v>
      </c>
      <c r="B23" s="13">
        <v>251</v>
      </c>
      <c r="C23" s="13">
        <v>10</v>
      </c>
      <c r="D23" s="13" t="str">
        <f t="shared" si="1"/>
        <v>DMH 251-10</v>
      </c>
      <c r="E23" s="13">
        <v>0.15</v>
      </c>
      <c r="F23" s="13" t="str">
        <f t="shared" si="0"/>
        <v>Sentry III Dome Top</v>
      </c>
      <c r="G23" s="13"/>
    </row>
    <row r="24" spans="1:7" s="9" customFormat="1" ht="25.5" x14ac:dyDescent="0.35">
      <c r="A24" s="13" t="s">
        <v>158</v>
      </c>
      <c r="B24" s="13">
        <v>252</v>
      </c>
      <c r="C24" s="13">
        <v>10</v>
      </c>
      <c r="D24" s="13" t="str">
        <f t="shared" si="1"/>
        <v>DMH 252-10</v>
      </c>
      <c r="E24" s="13">
        <v>0.15</v>
      </c>
      <c r="F24" s="13" t="str">
        <f t="shared" si="0"/>
        <v>Sentry III Dome Top</v>
      </c>
      <c r="G24" s="13"/>
    </row>
    <row r="25" spans="1:7" s="9" customFormat="1" ht="12.75" x14ac:dyDescent="0.35">
      <c r="A25" s="13" t="s">
        <v>157</v>
      </c>
      <c r="B25" s="13">
        <v>221</v>
      </c>
      <c r="C25" s="13">
        <v>17</v>
      </c>
      <c r="D25" s="13" t="str">
        <f t="shared" si="1"/>
        <v>DMX 221-17</v>
      </c>
      <c r="E25" s="13">
        <v>0.35</v>
      </c>
      <c r="F25" s="13" t="str">
        <f t="shared" si="0"/>
        <v>Sentry II Flat Top</v>
      </c>
      <c r="G25" s="13"/>
    </row>
    <row r="26" spans="1:7" s="9" customFormat="1" ht="12.75" x14ac:dyDescent="0.35">
      <c r="A26" s="13" t="s">
        <v>157</v>
      </c>
      <c r="B26" s="13">
        <v>221</v>
      </c>
      <c r="C26" s="13">
        <v>25</v>
      </c>
      <c r="D26" s="13" t="str">
        <f t="shared" si="1"/>
        <v>DMX 221-25</v>
      </c>
      <c r="E26" s="13">
        <v>0.35</v>
      </c>
      <c r="F26" s="13" t="str">
        <f t="shared" si="0"/>
        <v>Sentry II Flat Top</v>
      </c>
      <c r="G26" s="13"/>
    </row>
    <row r="27" spans="1:7" s="9" customFormat="1" ht="12.75" x14ac:dyDescent="0.35">
      <c r="A27" s="13" t="s">
        <v>157</v>
      </c>
      <c r="B27" s="13">
        <v>221</v>
      </c>
      <c r="C27" s="13">
        <v>39</v>
      </c>
      <c r="D27" s="13" t="str">
        <f t="shared" si="1"/>
        <v>DMX 221-39</v>
      </c>
      <c r="E27" s="13">
        <v>0.35</v>
      </c>
      <c r="F27" s="13" t="str">
        <f t="shared" si="0"/>
        <v>Sentry II Flat Top</v>
      </c>
      <c r="G27" s="13"/>
    </row>
    <row r="28" spans="1:7" s="9" customFormat="1" ht="12.75" x14ac:dyDescent="0.35">
      <c r="A28" s="13" t="s">
        <v>157</v>
      </c>
      <c r="B28" s="13">
        <v>221</v>
      </c>
      <c r="C28" s="13">
        <v>60</v>
      </c>
      <c r="D28" s="13" t="str">
        <f t="shared" si="1"/>
        <v>DMX 221-60</v>
      </c>
      <c r="E28" s="13">
        <v>0.35</v>
      </c>
      <c r="F28" s="13" t="str">
        <f t="shared" si="0"/>
        <v>Sentry II Flat Top</v>
      </c>
      <c r="G28" s="13"/>
    </row>
    <row r="29" spans="1:7" s="9" customFormat="1" ht="12.75" x14ac:dyDescent="0.35">
      <c r="A29" s="13" t="s">
        <v>157</v>
      </c>
      <c r="B29" s="13">
        <v>221</v>
      </c>
      <c r="C29" s="13">
        <v>75</v>
      </c>
      <c r="D29" s="13" t="str">
        <f t="shared" si="1"/>
        <v>DMX 221-75</v>
      </c>
      <c r="E29" s="13">
        <v>0.35</v>
      </c>
      <c r="F29" s="13" t="str">
        <f t="shared" si="0"/>
        <v>Sentry II Flat Top</v>
      </c>
      <c r="G29" s="13"/>
    </row>
    <row r="30" spans="1:7" s="9" customFormat="1" ht="12.75" x14ac:dyDescent="0.35">
      <c r="A30" s="13" t="s">
        <v>157</v>
      </c>
      <c r="B30" s="13">
        <v>221</v>
      </c>
      <c r="C30" s="13">
        <v>115</v>
      </c>
      <c r="D30" s="13" t="str">
        <f t="shared" si="1"/>
        <v>DMX 221-115</v>
      </c>
      <c r="E30" s="13">
        <v>0.35</v>
      </c>
      <c r="F30" s="13" t="str">
        <f t="shared" si="0"/>
        <v>Sentry II Flat Top</v>
      </c>
      <c r="G30" s="13"/>
    </row>
    <row r="31" spans="1:7" s="9" customFormat="1" ht="38.25" x14ac:dyDescent="0.35">
      <c r="A31" s="13" t="s">
        <v>159</v>
      </c>
      <c r="B31" s="13">
        <v>222</v>
      </c>
      <c r="C31" s="13" t="s">
        <v>160</v>
      </c>
      <c r="D31" s="13" t="str">
        <f t="shared" si="1"/>
        <v>DDI 222-60/150D</v>
      </c>
      <c r="E31" s="13">
        <v>0.35</v>
      </c>
      <c r="F31" s="13" t="str">
        <f t="shared" si="0"/>
        <v>Sentry II Flat Top</v>
      </c>
      <c r="G31" s="13" t="s">
        <v>155</v>
      </c>
    </row>
    <row r="32" spans="1:7" s="9" customFormat="1" ht="38.25" x14ac:dyDescent="0.35">
      <c r="A32" s="13" t="s">
        <v>161</v>
      </c>
      <c r="B32" s="13"/>
      <c r="C32" s="13" t="s">
        <v>162</v>
      </c>
      <c r="D32" s="13" t="str">
        <f t="shared" si="1"/>
        <v>DME -60/150</v>
      </c>
      <c r="E32" s="13">
        <v>0.35</v>
      </c>
      <c r="F32" s="13" t="str">
        <f t="shared" si="0"/>
        <v>Sentry II Flat Top</v>
      </c>
      <c r="G32" s="13" t="s">
        <v>155</v>
      </c>
    </row>
    <row r="33" spans="1:7" s="9" customFormat="1" ht="12.75" x14ac:dyDescent="0.35">
      <c r="A33" s="13" t="s">
        <v>157</v>
      </c>
      <c r="B33" s="13">
        <v>226</v>
      </c>
      <c r="C33" s="13" t="s">
        <v>163</v>
      </c>
      <c r="D33" s="13" t="str">
        <f t="shared" si="1"/>
        <v>DMX 226-42M</v>
      </c>
      <c r="E33" s="13">
        <v>0.35</v>
      </c>
      <c r="F33" s="13" t="str">
        <f t="shared" si="0"/>
        <v>Sentry II Flat Top</v>
      </c>
      <c r="G33" s="13"/>
    </row>
    <row r="34" spans="1:7" s="9" customFormat="1" ht="12.75" x14ac:dyDescent="0.35">
      <c r="A34" s="13" t="s">
        <v>157</v>
      </c>
      <c r="B34" s="13">
        <v>226</v>
      </c>
      <c r="C34" s="13" t="s">
        <v>164</v>
      </c>
      <c r="D34" s="13" t="str">
        <f t="shared" si="1"/>
        <v>DMX 226-100M</v>
      </c>
      <c r="E34" s="13">
        <v>0.35</v>
      </c>
      <c r="F34" s="13" t="str">
        <f t="shared" si="0"/>
        <v>Sentry II Flat Top</v>
      </c>
      <c r="G34" s="13"/>
    </row>
    <row r="35" spans="1:7" s="9" customFormat="1" ht="12.75" x14ac:dyDescent="0.35">
      <c r="A35" s="13" t="s">
        <v>157</v>
      </c>
      <c r="B35" s="13">
        <v>226</v>
      </c>
      <c r="C35" s="13" t="s">
        <v>165</v>
      </c>
      <c r="D35" s="13" t="str">
        <f t="shared" si="1"/>
        <v>DMX 226-142M</v>
      </c>
      <c r="E35" s="13">
        <v>0.35</v>
      </c>
      <c r="F35" s="13" t="str">
        <f t="shared" si="0"/>
        <v>Sentry II Flat Top</v>
      </c>
      <c r="G35" s="13"/>
    </row>
    <row r="36" spans="1:7" s="9" customFormat="1" ht="12.75" x14ac:dyDescent="0.35">
      <c r="A36" s="13" t="s">
        <v>157</v>
      </c>
      <c r="B36" s="13">
        <v>226</v>
      </c>
      <c r="C36" s="13" t="s">
        <v>166</v>
      </c>
      <c r="D36" s="13" t="str">
        <f t="shared" si="1"/>
        <v>DMX 226-67L</v>
      </c>
      <c r="E36" s="13">
        <v>0.35</v>
      </c>
      <c r="F36" s="13" t="str">
        <f t="shared" si="0"/>
        <v>Sentry II Flat Top</v>
      </c>
      <c r="G36" s="13"/>
    </row>
    <row r="37" spans="1:7" s="9" customFormat="1" ht="12.75" x14ac:dyDescent="0.35">
      <c r="A37" s="13" t="s">
        <v>157</v>
      </c>
      <c r="B37" s="13">
        <v>226</v>
      </c>
      <c r="C37" s="13" t="s">
        <v>167</v>
      </c>
      <c r="D37" s="13" t="str">
        <f t="shared" si="1"/>
        <v>DMX 226-132L</v>
      </c>
      <c r="E37" s="13">
        <v>0.35</v>
      </c>
      <c r="F37" s="13" t="str">
        <f t="shared" si="0"/>
        <v>Sentry II Flat Top</v>
      </c>
      <c r="G37" s="13"/>
    </row>
    <row r="38" spans="1:7" s="9" customFormat="1" ht="12.75" x14ac:dyDescent="0.35">
      <c r="A38" s="13" t="s">
        <v>157</v>
      </c>
      <c r="B38" s="13">
        <v>226</v>
      </c>
      <c r="C38" s="13" t="s">
        <v>168</v>
      </c>
      <c r="D38" s="13" t="str">
        <f t="shared" si="1"/>
        <v>DMX 226-190L</v>
      </c>
      <c r="E38" s="13">
        <v>0.35</v>
      </c>
      <c r="F38" s="13" t="str">
        <f t="shared" si="0"/>
        <v>Sentry II Flat Top</v>
      </c>
      <c r="G38" s="13"/>
    </row>
    <row r="39" spans="1:7" s="9" customFormat="1" ht="12.75" x14ac:dyDescent="0.35">
      <c r="A39" s="13" t="s">
        <v>157</v>
      </c>
      <c r="B39" s="13">
        <v>226</v>
      </c>
      <c r="C39" s="13">
        <v>253</v>
      </c>
      <c r="D39" s="13" t="str">
        <f t="shared" si="1"/>
        <v>DMX 226-253</v>
      </c>
      <c r="E39" s="13">
        <v>0.35</v>
      </c>
      <c r="F39" s="13" t="str">
        <f t="shared" si="0"/>
        <v>Sentry II Flat Top</v>
      </c>
      <c r="G39" s="13"/>
    </row>
    <row r="40" spans="1:7" s="9" customFormat="1" ht="12.75" x14ac:dyDescent="0.35">
      <c r="A40" s="13" t="s">
        <v>157</v>
      </c>
      <c r="B40" s="13">
        <v>226</v>
      </c>
      <c r="C40" s="13" t="s">
        <v>169</v>
      </c>
      <c r="D40" s="13" t="str">
        <f t="shared" si="1"/>
        <v>DMX 226-82M</v>
      </c>
      <c r="E40" s="13">
        <v>0.65</v>
      </c>
      <c r="F40" s="13" t="str">
        <f t="shared" si="0"/>
        <v>Sentry II Dome Top</v>
      </c>
      <c r="G40" s="13"/>
    </row>
    <row r="41" spans="1:7" s="9" customFormat="1" ht="12.75" x14ac:dyDescent="0.35">
      <c r="A41" s="13" t="s">
        <v>157</v>
      </c>
      <c r="B41" s="13">
        <v>226</v>
      </c>
      <c r="C41" s="13" t="s">
        <v>170</v>
      </c>
      <c r="D41" s="13" t="str">
        <f t="shared" si="1"/>
        <v>DMX 226-160M</v>
      </c>
      <c r="E41" s="13">
        <v>0.65</v>
      </c>
      <c r="F41" s="13" t="str">
        <f t="shared" si="0"/>
        <v>Sentry II Dome Top</v>
      </c>
      <c r="G41" s="13"/>
    </row>
    <row r="42" spans="1:7" s="9" customFormat="1" ht="12.75" x14ac:dyDescent="0.35">
      <c r="A42" s="13" t="s">
        <v>157</v>
      </c>
      <c r="B42" s="13">
        <v>226</v>
      </c>
      <c r="C42" s="13" t="s">
        <v>171</v>
      </c>
      <c r="D42" s="13" t="str">
        <f t="shared" si="1"/>
        <v>DMX 226-230M</v>
      </c>
      <c r="E42" s="13">
        <v>0.65</v>
      </c>
      <c r="F42" s="13" t="str">
        <f t="shared" si="0"/>
        <v>Sentry II Dome Top</v>
      </c>
      <c r="G42" s="13"/>
    </row>
    <row r="43" spans="1:7" s="9" customFormat="1" ht="12.75" x14ac:dyDescent="0.35">
      <c r="A43" s="13" t="s">
        <v>157</v>
      </c>
      <c r="B43" s="13">
        <v>226</v>
      </c>
      <c r="C43" s="13" t="s">
        <v>172</v>
      </c>
      <c r="D43" s="13" t="str">
        <f t="shared" si="1"/>
        <v>DMX 226-95L</v>
      </c>
      <c r="E43" s="13">
        <v>0.65</v>
      </c>
      <c r="F43" s="13" t="str">
        <f t="shared" si="0"/>
        <v>Sentry II Dome Top</v>
      </c>
      <c r="G43" s="13"/>
    </row>
    <row r="44" spans="1:7" s="9" customFormat="1" ht="12.75" x14ac:dyDescent="0.35">
      <c r="A44" s="13" t="s">
        <v>157</v>
      </c>
      <c r="B44" s="13">
        <v>226</v>
      </c>
      <c r="C44" s="13" t="s">
        <v>173</v>
      </c>
      <c r="D44" s="13" t="str">
        <f t="shared" si="1"/>
        <v>DMX 226-199L</v>
      </c>
      <c r="E44" s="13">
        <v>0.65</v>
      </c>
      <c r="F44" s="13" t="str">
        <f t="shared" si="0"/>
        <v>Sentry II Dome Top</v>
      </c>
      <c r="G44" s="13"/>
    </row>
    <row r="45" spans="1:7" s="9" customFormat="1" ht="12.75" x14ac:dyDescent="0.35">
      <c r="A45" s="13" t="s">
        <v>157</v>
      </c>
      <c r="B45" s="13">
        <v>226</v>
      </c>
      <c r="C45" s="13" t="s">
        <v>174</v>
      </c>
      <c r="D45" s="13" t="str">
        <f t="shared" si="1"/>
        <v>DMX 226-280L</v>
      </c>
      <c r="E45" s="13">
        <v>0.65</v>
      </c>
      <c r="F45" s="13" t="str">
        <f t="shared" si="0"/>
        <v>Sentry II Dome Top</v>
      </c>
      <c r="G45" s="13"/>
    </row>
    <row r="46" spans="1:7" s="9" customFormat="1" ht="12.75" x14ac:dyDescent="0.35">
      <c r="A46" s="13" t="s">
        <v>157</v>
      </c>
      <c r="B46" s="13">
        <v>226</v>
      </c>
      <c r="C46" s="13" t="s">
        <v>175</v>
      </c>
      <c r="D46" s="13" t="str">
        <f t="shared" si="1"/>
        <v>DMX 226-130M</v>
      </c>
      <c r="E46" s="13">
        <v>0.65</v>
      </c>
      <c r="F46" s="13" t="str">
        <f t="shared" si="0"/>
        <v>Sentry II Dome Top</v>
      </c>
      <c r="G46" s="13"/>
    </row>
    <row r="47" spans="1:7" s="9" customFormat="1" ht="12.75" x14ac:dyDescent="0.35">
      <c r="A47" s="13" t="s">
        <v>157</v>
      </c>
      <c r="B47" s="13">
        <v>226</v>
      </c>
      <c r="C47" s="13" t="s">
        <v>176</v>
      </c>
      <c r="D47" s="13" t="str">
        <f t="shared" si="1"/>
        <v>DMX 226-255M</v>
      </c>
      <c r="E47" s="13">
        <v>0.65</v>
      </c>
      <c r="F47" s="13" t="str">
        <f t="shared" si="0"/>
        <v>Sentry II Dome Top</v>
      </c>
      <c r="G47" s="13"/>
    </row>
    <row r="48" spans="1:7" s="9" customFormat="1" ht="12.75" x14ac:dyDescent="0.35">
      <c r="A48" s="13" t="s">
        <v>157</v>
      </c>
      <c r="B48" s="13">
        <v>226</v>
      </c>
      <c r="C48" s="13" t="s">
        <v>177</v>
      </c>
      <c r="D48" s="13" t="str">
        <f t="shared" si="1"/>
        <v>DMX 226-380M</v>
      </c>
      <c r="E48" s="13">
        <v>0.65</v>
      </c>
      <c r="F48" s="13" t="str">
        <f t="shared" si="0"/>
        <v>Sentry II Dome Top</v>
      </c>
      <c r="G48" s="13"/>
    </row>
    <row r="49" spans="1:7" s="9" customFormat="1" ht="12.75" x14ac:dyDescent="0.35">
      <c r="A49" s="13" t="s">
        <v>157</v>
      </c>
      <c r="B49" s="13">
        <v>226</v>
      </c>
      <c r="C49" s="13" t="s">
        <v>178</v>
      </c>
      <c r="D49" s="13" t="str">
        <f t="shared" si="1"/>
        <v>DMX 226-152L</v>
      </c>
      <c r="E49" s="13">
        <v>0.65</v>
      </c>
      <c r="F49" s="13" t="str">
        <f t="shared" si="0"/>
        <v>Sentry II Dome Top</v>
      </c>
      <c r="G49" s="13"/>
    </row>
    <row r="50" spans="1:7" s="9" customFormat="1" ht="12.75" x14ac:dyDescent="0.35">
      <c r="A50" s="13" t="s">
        <v>157</v>
      </c>
      <c r="B50" s="13">
        <v>226</v>
      </c>
      <c r="C50" s="13" t="s">
        <v>179</v>
      </c>
      <c r="D50" s="13" t="str">
        <f t="shared" si="1"/>
        <v>DMX 226-321L</v>
      </c>
      <c r="E50" s="13">
        <v>0.65</v>
      </c>
      <c r="F50" s="13" t="str">
        <f t="shared" si="0"/>
        <v>Sentry II Dome Top</v>
      </c>
      <c r="G50" s="13"/>
    </row>
    <row r="51" spans="1:7" s="9" customFormat="1" ht="12.75" x14ac:dyDescent="0.35">
      <c r="A51" s="13" t="s">
        <v>157</v>
      </c>
      <c r="B51" s="13">
        <v>226</v>
      </c>
      <c r="C51" s="13" t="s">
        <v>180</v>
      </c>
      <c r="D51" s="13" t="str">
        <f t="shared" si="1"/>
        <v>DMX 226-460L</v>
      </c>
      <c r="E51" s="13">
        <v>0.65</v>
      </c>
      <c r="F51" s="13" t="str">
        <f t="shared" si="0"/>
        <v>Sentry II Dome Top</v>
      </c>
      <c r="G51" s="13"/>
    </row>
    <row r="52" spans="1:7" s="9" customFormat="1" ht="12.75" x14ac:dyDescent="0.35">
      <c r="A52" s="13" t="s">
        <v>157</v>
      </c>
      <c r="B52" s="13">
        <v>226</v>
      </c>
      <c r="C52" s="13" t="s">
        <v>181</v>
      </c>
      <c r="D52" s="13" t="str">
        <f t="shared" si="1"/>
        <v>DMX 226-249L</v>
      </c>
      <c r="E52" s="13">
        <v>0.65</v>
      </c>
      <c r="F52" s="13" t="str">
        <f t="shared" si="0"/>
        <v>Sentry II Dome Top</v>
      </c>
      <c r="G52" s="13"/>
    </row>
    <row r="53" spans="1:7" s="9" customFormat="1" ht="12.75" x14ac:dyDescent="0.35">
      <c r="A53" s="13" t="s">
        <v>157</v>
      </c>
      <c r="B53" s="13">
        <v>226</v>
      </c>
      <c r="C53" s="13" t="s">
        <v>182</v>
      </c>
      <c r="D53" s="13" t="str">
        <f t="shared" si="1"/>
        <v>DMX 226-525L</v>
      </c>
      <c r="E53" s="13">
        <v>0.65</v>
      </c>
      <c r="F53" s="13" t="str">
        <f t="shared" si="0"/>
        <v>Sentry II Dome Top</v>
      </c>
      <c r="G53" s="13"/>
    </row>
    <row r="54" spans="1:7" s="9" customFormat="1" ht="12.75" x14ac:dyDescent="0.35">
      <c r="A54" s="13" t="s">
        <v>157</v>
      </c>
      <c r="B54" s="13">
        <v>226</v>
      </c>
      <c r="C54" s="13" t="s">
        <v>183</v>
      </c>
      <c r="D54" s="13" t="str">
        <f t="shared" si="1"/>
        <v>DMX 226-800L</v>
      </c>
      <c r="E54" s="13">
        <v>0.65</v>
      </c>
      <c r="F54" s="13" t="str">
        <f t="shared" si="0"/>
        <v>Sentry II Dome Top</v>
      </c>
      <c r="G54" s="13"/>
    </row>
    <row r="55" spans="1:7" s="9" customFormat="1" ht="12.75" x14ac:dyDescent="0.35">
      <c r="A55" s="13" t="s">
        <v>158</v>
      </c>
      <c r="B55" s="13">
        <v>254</v>
      </c>
      <c r="C55" s="13" t="s">
        <v>184</v>
      </c>
      <c r="D55" s="13" t="str">
        <f t="shared" si="1"/>
        <v>DMH 254-???</v>
      </c>
      <c r="E55" s="13">
        <v>0.65</v>
      </c>
      <c r="F55" s="13" t="str">
        <f t="shared" si="0"/>
        <v>Sentry II Dome Top</v>
      </c>
      <c r="G55" s="13" t="s">
        <v>185</v>
      </c>
    </row>
    <row r="56" spans="1:7" s="9" customFormat="1" ht="12.75" x14ac:dyDescent="0.35">
      <c r="A56" s="13" t="s">
        <v>158</v>
      </c>
      <c r="B56" s="13">
        <v>255</v>
      </c>
      <c r="C56" s="13" t="s">
        <v>184</v>
      </c>
      <c r="D56" s="13" t="str">
        <f t="shared" si="1"/>
        <v>DMH 255-???</v>
      </c>
      <c r="E56" s="13">
        <v>0.65</v>
      </c>
      <c r="F56" s="13" t="str">
        <f t="shared" si="0"/>
        <v>Sentry II Dome Top</v>
      </c>
      <c r="G56" s="13" t="s">
        <v>186</v>
      </c>
    </row>
    <row r="57" spans="1:7" s="9" customFormat="1" ht="38.25" x14ac:dyDescent="0.35">
      <c r="A57" s="13" t="s">
        <v>161</v>
      </c>
      <c r="B57" s="13">
        <v>375</v>
      </c>
      <c r="C57" s="13" t="s">
        <v>184</v>
      </c>
      <c r="D57" s="13" t="str">
        <f t="shared" si="1"/>
        <v>DME 375-???</v>
      </c>
      <c r="E57" s="13">
        <v>0.65</v>
      </c>
      <c r="F57" s="13" t="str">
        <f t="shared" si="0"/>
        <v>Sentry II Dome Top</v>
      </c>
      <c r="G57" s="13" t="s">
        <v>155</v>
      </c>
    </row>
    <row r="58" spans="1:7" s="9" customFormat="1" ht="12.75" x14ac:dyDescent="0.35">
      <c r="A58" s="13" t="s">
        <v>158</v>
      </c>
      <c r="B58" s="13">
        <v>255</v>
      </c>
      <c r="C58" s="13" t="s">
        <v>184</v>
      </c>
      <c r="D58" s="13" t="str">
        <f t="shared" si="1"/>
        <v>DMH 255-???</v>
      </c>
      <c r="E58" s="13">
        <v>1.4</v>
      </c>
      <c r="F58" s="13" t="str">
        <f t="shared" si="0"/>
        <v>Sentry II Dome Top</v>
      </c>
      <c r="G58" s="13" t="s">
        <v>186</v>
      </c>
    </row>
    <row r="59" spans="1:7" s="9" customFormat="1" ht="38.25" x14ac:dyDescent="0.35">
      <c r="A59" s="13" t="s">
        <v>161</v>
      </c>
      <c r="B59" s="13">
        <v>940</v>
      </c>
      <c r="C59" s="13" t="s">
        <v>184</v>
      </c>
      <c r="D59" s="13" t="str">
        <f t="shared" si="1"/>
        <v>DME 940-???</v>
      </c>
      <c r="E59" s="13">
        <v>1.4</v>
      </c>
      <c r="F59" s="13" t="str">
        <f t="shared" si="0"/>
        <v>Sentry II Dome Top</v>
      </c>
      <c r="G59" s="13" t="s">
        <v>155</v>
      </c>
    </row>
    <row r="60" spans="1:7" s="9" customFormat="1" ht="12.75" x14ac:dyDescent="0.35">
      <c r="A60" s="13" t="s">
        <v>158</v>
      </c>
      <c r="B60" s="13">
        <v>257</v>
      </c>
      <c r="C60" s="13" t="s">
        <v>184</v>
      </c>
      <c r="D60" s="13" t="str">
        <f t="shared" si="1"/>
        <v>DMH 257-???</v>
      </c>
      <c r="E60" s="13">
        <v>2.6</v>
      </c>
      <c r="F60" s="13" t="str">
        <f t="shared" si="0"/>
        <v>Sentry I Flat Top</v>
      </c>
      <c r="G60" s="13" t="s">
        <v>187</v>
      </c>
    </row>
    <row r="61" spans="1:7" s="9" customFormat="1" ht="12.75" x14ac:dyDescent="0.35">
      <c r="A61" s="13" t="s">
        <v>157</v>
      </c>
      <c r="B61" s="13">
        <v>227</v>
      </c>
      <c r="C61" s="13" t="s">
        <v>184</v>
      </c>
      <c r="D61" s="13" t="str">
        <f t="shared" si="1"/>
        <v>DMX 227-???</v>
      </c>
      <c r="E61" s="13">
        <v>5.6</v>
      </c>
      <c r="F61" s="13" t="str">
        <f t="shared" si="0"/>
        <v>Sentry I Dome Top</v>
      </c>
      <c r="G61" s="13" t="s">
        <v>188</v>
      </c>
    </row>
    <row r="62" spans="1:7" s="9" customFormat="1" ht="38.25" x14ac:dyDescent="0.35">
      <c r="A62" s="13" t="s">
        <v>157</v>
      </c>
      <c r="B62" s="13">
        <v>227</v>
      </c>
      <c r="C62" s="14" t="s">
        <v>189</v>
      </c>
      <c r="D62" s="13" t="str">
        <f t="shared" si="1"/>
        <v>DMX 227-???/2</v>
      </c>
      <c r="E62" s="13">
        <v>9.5</v>
      </c>
      <c r="F62" s="13" t="str">
        <f t="shared" si="0"/>
        <v>Contact H2O Rx</v>
      </c>
      <c r="G62" s="13" t="s">
        <v>190</v>
      </c>
    </row>
    <row r="63" spans="1:7" s="9" customFormat="1" ht="38.25" x14ac:dyDescent="0.35">
      <c r="A63" s="13" t="s">
        <v>158</v>
      </c>
      <c r="B63" s="13">
        <v>257</v>
      </c>
      <c r="C63" s="14" t="s">
        <v>189</v>
      </c>
      <c r="D63" s="13" t="str">
        <f t="shared" si="1"/>
        <v>DMH 257-???/2</v>
      </c>
      <c r="E63" s="13">
        <v>9.5</v>
      </c>
      <c r="F63" s="13" t="str">
        <f t="shared" si="0"/>
        <v>Contact H2O Rx</v>
      </c>
      <c r="G63" s="13" t="s">
        <v>191</v>
      </c>
    </row>
  </sheetData>
  <sheetProtection algorithmName="SHA-512" hashValue="kkw6p/C6ekfYNxqkbomHDOKwRrygHJD6j1O+vFzjcFTEwvZ0NBngbTsYYSDLlx8gHRfE7a6fatPdMitJ0Q4e3A==" saltValue="MptcsuSrCfBZ2g2r04/q2g==" spinCount="100000" sheet="1" objects="1" scenarios="1" autoFilter="0"/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1E28-819D-4659-8040-E3298B1C94F7}">
  <dimension ref="A1:H27"/>
  <sheetViews>
    <sheetView topLeftCell="B1" workbookViewId="0">
      <selection activeCell="E18" sqref="E18"/>
    </sheetView>
  </sheetViews>
  <sheetFormatPr defaultRowHeight="12.75" x14ac:dyDescent="0.35"/>
  <cols>
    <col min="1" max="1" width="15.86328125" hidden="1" customWidth="1"/>
    <col min="2" max="2" width="15.86328125" customWidth="1"/>
    <col min="5" max="5" width="10.9296875" customWidth="1"/>
    <col min="8" max="8" width="10.796875" customWidth="1"/>
  </cols>
  <sheetData>
    <row r="1" spans="1:8" ht="13.15" x14ac:dyDescent="0.4">
      <c r="A1" s="32"/>
      <c r="B1" s="16" t="s">
        <v>267</v>
      </c>
      <c r="C1" s="32"/>
      <c r="D1" s="32"/>
      <c r="E1" s="32"/>
      <c r="F1" s="32"/>
      <c r="G1" s="32"/>
      <c r="H1" s="32"/>
    </row>
    <row r="2" spans="1:8" x14ac:dyDescent="0.35">
      <c r="A2" s="32" t="s">
        <v>264</v>
      </c>
      <c r="B2" s="32" t="s">
        <v>265</v>
      </c>
      <c r="C2" s="32" t="s">
        <v>192</v>
      </c>
      <c r="D2" s="32" t="s">
        <v>193</v>
      </c>
      <c r="E2" s="32" t="s">
        <v>194</v>
      </c>
      <c r="F2" s="32" t="s">
        <v>216</v>
      </c>
      <c r="G2" s="32" t="s">
        <v>244</v>
      </c>
      <c r="H2" s="32" t="s">
        <v>245</v>
      </c>
    </row>
    <row r="3" spans="1:8" x14ac:dyDescent="0.35">
      <c r="A3" s="32">
        <v>10</v>
      </c>
      <c r="B3" s="32">
        <v>0.16</v>
      </c>
      <c r="C3" s="32" t="s">
        <v>195</v>
      </c>
      <c r="D3" s="32" t="s">
        <v>215</v>
      </c>
      <c r="E3" s="32" t="s">
        <v>218</v>
      </c>
      <c r="F3" s="32" t="s">
        <v>227</v>
      </c>
      <c r="G3" s="32"/>
      <c r="H3" s="32"/>
    </row>
    <row r="4" spans="1:8" x14ac:dyDescent="0.35">
      <c r="A4" s="32">
        <v>10</v>
      </c>
      <c r="B4" s="32">
        <v>0.16</v>
      </c>
      <c r="C4" s="32"/>
      <c r="D4" s="32"/>
      <c r="E4" s="32"/>
      <c r="F4" s="32" t="s">
        <v>228</v>
      </c>
      <c r="G4" s="32"/>
      <c r="H4" s="32"/>
    </row>
    <row r="5" spans="1:8" x14ac:dyDescent="0.35">
      <c r="A5" s="32">
        <v>10</v>
      </c>
      <c r="B5" s="32">
        <v>0.16</v>
      </c>
      <c r="C5" s="32"/>
      <c r="D5" s="32"/>
      <c r="E5" s="32"/>
      <c r="F5" s="32" t="s">
        <v>229</v>
      </c>
      <c r="G5" s="32"/>
      <c r="H5" s="32"/>
    </row>
    <row r="6" spans="1:8" x14ac:dyDescent="0.35">
      <c r="A6" s="32">
        <v>10</v>
      </c>
      <c r="B6" s="32">
        <v>0.16</v>
      </c>
      <c r="C6" s="32"/>
      <c r="D6" s="32"/>
      <c r="E6" s="32"/>
      <c r="F6" s="32" t="s">
        <v>230</v>
      </c>
      <c r="G6" s="32"/>
      <c r="H6" s="32"/>
    </row>
    <row r="7" spans="1:8" x14ac:dyDescent="0.35">
      <c r="A7" s="32">
        <v>36</v>
      </c>
      <c r="B7" s="32">
        <v>0.59</v>
      </c>
      <c r="C7" s="32" t="s">
        <v>196</v>
      </c>
      <c r="D7" s="32" t="s">
        <v>207</v>
      </c>
      <c r="E7" s="32"/>
      <c r="F7" s="32" t="s">
        <v>231</v>
      </c>
      <c r="G7" s="32"/>
      <c r="H7" s="32"/>
    </row>
    <row r="8" spans="1:8" x14ac:dyDescent="0.35">
      <c r="A8" s="32">
        <v>85</v>
      </c>
      <c r="B8" s="32">
        <v>1.39</v>
      </c>
      <c r="C8" s="32" t="s">
        <v>197</v>
      </c>
      <c r="D8" s="32" t="s">
        <v>208</v>
      </c>
      <c r="E8" s="32" t="s">
        <v>219</v>
      </c>
      <c r="F8" s="32" t="s">
        <v>232</v>
      </c>
      <c r="G8" s="32" t="s">
        <v>255</v>
      </c>
      <c r="H8" s="32" t="s">
        <v>246</v>
      </c>
    </row>
    <row r="9" spans="1:8" x14ac:dyDescent="0.35">
      <c r="A9" s="32">
        <v>85</v>
      </c>
      <c r="B9" s="32">
        <v>1.39</v>
      </c>
      <c r="C9" s="32" t="s">
        <v>198</v>
      </c>
      <c r="D9" s="32"/>
      <c r="E9" s="32" t="s">
        <v>220</v>
      </c>
      <c r="F9" s="32" t="s">
        <v>233</v>
      </c>
      <c r="G9" s="32" t="s">
        <v>256</v>
      </c>
      <c r="H9" s="32" t="s">
        <v>247</v>
      </c>
    </row>
    <row r="10" spans="1:8" x14ac:dyDescent="0.35">
      <c r="A10" s="32">
        <v>85</v>
      </c>
      <c r="B10" s="32">
        <v>1.39</v>
      </c>
      <c r="C10" s="32"/>
      <c r="D10" s="32"/>
      <c r="E10" s="32"/>
      <c r="F10" s="32" t="s">
        <v>234</v>
      </c>
      <c r="G10" s="32"/>
      <c r="H10" s="32" t="s">
        <v>248</v>
      </c>
    </row>
    <row r="11" spans="1:8" x14ac:dyDescent="0.35">
      <c r="A11" s="32">
        <v>85</v>
      </c>
      <c r="B11" s="32">
        <v>1.39</v>
      </c>
      <c r="C11" s="32"/>
      <c r="D11" s="32"/>
      <c r="E11" s="32"/>
      <c r="F11" s="32" t="s">
        <v>235</v>
      </c>
      <c r="G11" s="32"/>
      <c r="H11" s="32" t="s">
        <v>249</v>
      </c>
    </row>
    <row r="12" spans="1:8" x14ac:dyDescent="0.35">
      <c r="A12" s="32">
        <v>85</v>
      </c>
      <c r="B12" s="32">
        <v>1.39</v>
      </c>
      <c r="C12" s="32"/>
      <c r="D12" s="32"/>
      <c r="E12" s="32"/>
      <c r="F12" s="32" t="s">
        <v>236</v>
      </c>
      <c r="G12" s="32"/>
      <c r="H12" s="32" t="s">
        <v>250</v>
      </c>
    </row>
    <row r="13" spans="1:8" x14ac:dyDescent="0.35">
      <c r="A13" s="32">
        <v>85</v>
      </c>
      <c r="B13" s="32">
        <v>1.39</v>
      </c>
      <c r="C13" s="32"/>
      <c r="D13" s="32"/>
      <c r="E13" s="32"/>
      <c r="F13" s="32"/>
      <c r="G13" s="32"/>
      <c r="H13" s="32" t="s">
        <v>251</v>
      </c>
    </row>
    <row r="14" spans="1:8" x14ac:dyDescent="0.35">
      <c r="A14" s="32">
        <v>85</v>
      </c>
      <c r="B14" s="32">
        <v>1.39</v>
      </c>
      <c r="C14" s="32"/>
      <c r="D14" s="32"/>
      <c r="E14" s="32"/>
      <c r="F14" s="32"/>
      <c r="G14" s="32"/>
      <c r="H14" s="32" t="s">
        <v>252</v>
      </c>
    </row>
    <row r="15" spans="1:8" x14ac:dyDescent="0.35">
      <c r="A15" s="32">
        <v>175</v>
      </c>
      <c r="B15" s="32">
        <v>2.87</v>
      </c>
      <c r="C15" s="32" t="s">
        <v>200</v>
      </c>
      <c r="D15" s="32" t="s">
        <v>209</v>
      </c>
      <c r="E15" s="32" t="s">
        <v>221</v>
      </c>
      <c r="F15" s="32" t="s">
        <v>237</v>
      </c>
      <c r="G15" s="32"/>
      <c r="H15" s="32"/>
    </row>
    <row r="16" spans="1:8" x14ac:dyDescent="0.35">
      <c r="A16" s="32">
        <v>175</v>
      </c>
      <c r="B16" s="32">
        <v>2.87</v>
      </c>
      <c r="C16" s="32" t="s">
        <v>199</v>
      </c>
      <c r="D16" s="32" t="s">
        <v>210</v>
      </c>
      <c r="E16" s="32" t="s">
        <v>224</v>
      </c>
      <c r="F16" s="32" t="s">
        <v>238</v>
      </c>
      <c r="G16" s="32"/>
      <c r="H16" s="32"/>
    </row>
    <row r="17" spans="1:8" x14ac:dyDescent="0.35">
      <c r="A17" s="32">
        <v>175</v>
      </c>
      <c r="B17" s="32">
        <v>2.87</v>
      </c>
      <c r="C17" s="32"/>
      <c r="D17" s="32"/>
      <c r="E17" s="32"/>
      <c r="F17" s="32" t="s">
        <v>239</v>
      </c>
      <c r="G17" s="32"/>
      <c r="H17" s="32"/>
    </row>
    <row r="18" spans="1:8" x14ac:dyDescent="0.35">
      <c r="A18" s="32">
        <v>175</v>
      </c>
      <c r="B18" s="32">
        <v>2.87</v>
      </c>
      <c r="C18" s="32"/>
      <c r="D18" s="32"/>
      <c r="E18" s="32"/>
      <c r="F18" s="32" t="s">
        <v>240</v>
      </c>
      <c r="G18" s="32"/>
      <c r="H18" s="32"/>
    </row>
    <row r="19" spans="1:8" x14ac:dyDescent="0.35">
      <c r="A19" s="32">
        <v>175</v>
      </c>
      <c r="B19" s="32">
        <v>2.87</v>
      </c>
      <c r="C19" s="32"/>
      <c r="D19" s="32"/>
      <c r="E19" s="32"/>
      <c r="F19" s="32" t="s">
        <v>241</v>
      </c>
      <c r="G19" s="32"/>
      <c r="H19" s="32"/>
    </row>
    <row r="20" spans="1:8" x14ac:dyDescent="0.35">
      <c r="A20" s="32">
        <v>370</v>
      </c>
      <c r="B20" s="32">
        <v>6.07</v>
      </c>
      <c r="C20" s="32" t="s">
        <v>201</v>
      </c>
      <c r="D20" s="32" t="s">
        <v>211</v>
      </c>
      <c r="E20" s="32" t="s">
        <v>225</v>
      </c>
      <c r="F20" s="32" t="s">
        <v>242</v>
      </c>
      <c r="G20" s="32" t="s">
        <v>257</v>
      </c>
      <c r="H20" s="32" t="s">
        <v>253</v>
      </c>
    </row>
    <row r="21" spans="1:8" x14ac:dyDescent="0.35">
      <c r="A21" s="32">
        <v>370</v>
      </c>
      <c r="B21" s="32">
        <v>6.07</v>
      </c>
      <c r="C21" s="32"/>
      <c r="D21" s="32"/>
      <c r="E21" s="32"/>
      <c r="F21" s="32"/>
      <c r="G21" s="32" t="s">
        <v>258</v>
      </c>
      <c r="H21" s="32" t="s">
        <v>254</v>
      </c>
    </row>
    <row r="22" spans="1:8" x14ac:dyDescent="0.35">
      <c r="A22" s="32">
        <v>370</v>
      </c>
      <c r="B22" s="32">
        <v>6.07</v>
      </c>
      <c r="C22" s="32"/>
      <c r="D22" s="32"/>
      <c r="E22" s="32"/>
      <c r="F22" s="32"/>
      <c r="G22" s="32" t="s">
        <v>259</v>
      </c>
      <c r="H22" s="32"/>
    </row>
    <row r="23" spans="1:8" x14ac:dyDescent="0.35">
      <c r="A23" s="32" t="s">
        <v>205</v>
      </c>
      <c r="B23" s="32">
        <v>18.93</v>
      </c>
      <c r="C23" s="32" t="s">
        <v>202</v>
      </c>
      <c r="D23" s="32" t="s">
        <v>212</v>
      </c>
      <c r="E23" s="32" t="s">
        <v>222</v>
      </c>
      <c r="F23" s="32" t="s">
        <v>243</v>
      </c>
      <c r="G23" s="32" t="s">
        <v>260</v>
      </c>
      <c r="H23" s="32"/>
    </row>
    <row r="24" spans="1:8" x14ac:dyDescent="0.35">
      <c r="A24" s="32" t="s">
        <v>205</v>
      </c>
      <c r="B24" s="32">
        <v>18.93</v>
      </c>
      <c r="C24" s="32" t="s">
        <v>203</v>
      </c>
      <c r="D24" s="32" t="s">
        <v>213</v>
      </c>
      <c r="E24" s="32"/>
      <c r="F24" s="32"/>
      <c r="G24" s="32" t="s">
        <v>261</v>
      </c>
      <c r="H24" s="32"/>
    </row>
    <row r="25" spans="1:8" x14ac:dyDescent="0.35">
      <c r="A25" s="32"/>
      <c r="B25" s="32">
        <v>18.93</v>
      </c>
      <c r="C25" s="32"/>
      <c r="D25" s="32"/>
      <c r="E25" s="32"/>
      <c r="F25" s="32"/>
      <c r="G25" s="32" t="s">
        <v>262</v>
      </c>
      <c r="H25" s="32"/>
    </row>
    <row r="26" spans="1:8" x14ac:dyDescent="0.35">
      <c r="A26" s="32" t="s">
        <v>206</v>
      </c>
      <c r="B26" s="32">
        <v>37.85</v>
      </c>
      <c r="C26" s="32" t="s">
        <v>204</v>
      </c>
      <c r="D26" s="32" t="s">
        <v>214</v>
      </c>
      <c r="E26" s="32" t="s">
        <v>223</v>
      </c>
      <c r="F26" s="32"/>
      <c r="G26" s="32" t="s">
        <v>263</v>
      </c>
      <c r="H26" s="32"/>
    </row>
    <row r="27" spans="1:8" x14ac:dyDescent="0.35">
      <c r="A27" s="32" t="s">
        <v>206</v>
      </c>
      <c r="B27" s="32">
        <v>37.85</v>
      </c>
      <c r="C27" s="32"/>
      <c r="D27" s="32" t="s">
        <v>217</v>
      </c>
      <c r="E27" s="32" t="s">
        <v>226</v>
      </c>
      <c r="F27" s="32"/>
      <c r="G27" s="32"/>
      <c r="H27" s="32"/>
    </row>
  </sheetData>
  <sheetProtection algorithmName="SHA-512" hashValue="8qfeWeTiPzJzd/ieBFph5JlreIyWi1F2+UIwH/ng9HlUAq9FDdElfLR8/hZfYaXgEGt1a4Vy/yI2RIuWHD6yWA==" saltValue="EkInLjiGNK/5kaB59mHegQ==" spinCount="100000" sheet="1" objects="1" scenarios="1" autoFilter="0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A1092EA85050FE49B2501C402763C3C00048EC5CFE6549BF46948AE3038E661601" ma:contentTypeVersion="10" ma:contentTypeDescription="A blank Microsoft Word document." ma:contentTypeScope="" ma:versionID="7203072bd01c40a396bc5df5e28bb5c7">
  <xsd:schema xmlns:xsd="http://www.w3.org/2001/XMLSchema" xmlns:xs="http://www.w3.org/2001/XMLSchema" xmlns:p="http://schemas.microsoft.com/office/2006/metadata/properties" xmlns:ns2="5ded30c6-0a9b-456c-8b8c-35090aebbe96" xmlns:ns3="0353f159-288d-43b0-9198-82ad50ceeb7f" targetNamespace="http://schemas.microsoft.com/office/2006/metadata/properties" ma:root="true" ma:fieldsID="1cf303faf6349ecbb9136fd21c1a0f69" ns2:_="" ns3:_="">
    <xsd:import namespace="5ded30c6-0a9b-456c-8b8c-35090aebbe96"/>
    <xsd:import namespace="0353f159-288d-43b0-9198-82ad50ceeb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d30c6-0a9b-456c-8b8c-35090aebbe9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3f159-288d-43b0-9198-82ad50ceeb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C7185E-4759-41AC-A6B0-57677B7977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B1F15C-6293-48EB-A51F-78D2ACF0B4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8CE349-1A0E-4A78-A382-418D45E85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ed30c6-0a9b-456c-8b8c-35090aebbe96"/>
    <ds:schemaRef ds:uri="0353f159-288d-43b0-9198-82ad50ceeb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General Calculations</vt:lpstr>
      <vt:lpstr>Grundfos Pumps</vt:lpstr>
      <vt:lpstr>Peristaltic</vt:lpstr>
      <vt:lpstr>'General Calculations'!Print_Area</vt:lpstr>
      <vt:lpstr>'Grundfos Pumps'!Print_Area</vt:lpstr>
      <vt:lpstr>Peristaltic!Print_Area</vt:lpstr>
    </vt:vector>
  </TitlesOfParts>
  <Company>H2O Rx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Young</dc:creator>
  <cp:lastModifiedBy>Scott Young</cp:lastModifiedBy>
  <cp:lastPrinted>2012-12-20T04:09:50Z</cp:lastPrinted>
  <dcterms:created xsi:type="dcterms:W3CDTF">2005-02-16T08:15:32Z</dcterms:created>
  <dcterms:modified xsi:type="dcterms:W3CDTF">2021-02-04T05:38:36Z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0x010100A1092EA85050FE49B2501C402763C3C00048EC5CFE6549BF46948AE3038E661601</vt:lpwstr>
  </property>
</Properties>
</file>